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codeName="ThisWorkbook"/>
  <mc:AlternateContent xmlns:mc="http://schemas.openxmlformats.org/markup-compatibility/2006">
    <mc:Choice Requires="x15">
      <x15ac:absPath xmlns:x15ac="http://schemas.microsoft.com/office/spreadsheetml/2010/11/ac" url="https://pnnl-my.sharepoint.com/personal/michael_rosenberg_pnnl_gov/Documents/Documents/MRosenberg/ASHRAE/ECB/Metrics/"/>
    </mc:Choice>
  </mc:AlternateContent>
  <xr:revisionPtr revIDLastSave="0" documentId="8_{61678AF4-FAE2-4DBB-A0ED-39C670C08A78}" xr6:coauthVersionLast="47" xr6:coauthVersionMax="47" xr10:uidLastSave="{00000000-0000-0000-0000-000000000000}"/>
  <bookViews>
    <workbookView showHorizontalScroll="0" showVerticalScroll="0" showSheetTabs="0" xWindow="1390" yWindow="280" windowWidth="26150" windowHeight="15050" autoFilterDateGrouping="0" xr2:uid="{E02A7323-4200-46A0-BE42-C692C681DF96}"/>
  </bookViews>
  <sheets>
    <sheet name="BPF Calculator" sheetId="7" r:id="rId1"/>
    <sheet name="Calculator" sheetId="5" state="hidden" r:id="rId2"/>
    <sheet name="BPF Compare" sheetId="8" r:id="rId3"/>
  </sheets>
  <definedNames>
    <definedName name="A_2025_v4">Calculator!$B$16:$U$24</definedName>
    <definedName name="B_2025_v4">Calculator!$B$31:$U$39</definedName>
    <definedName name="C_2025_v4">Calculator!$B$45:$U$53</definedName>
    <definedName name="Code_year_options">Calculator!$AT$2:$AW$19</definedName>
    <definedName name="Code_years">Calculator!$AY$2:$AY$10</definedName>
    <definedName name="codeyear">'BPF Calculator'!$D$9</definedName>
    <definedName name="ElecCarbon">'BPF Calculator'!$D$12</definedName>
    <definedName name="ElecCost">'BPF Calculator'!$D$11</definedName>
    <definedName name="elecsource">'BPF Calculator'!$D$13</definedName>
    <definedName name="gascarbon">'BPF Calculator'!$Q$12</definedName>
    <definedName name="gascost">'BPF Calculator'!$Q$11</definedName>
    <definedName name="gassource">'BPF Calculator'!$Q$13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ecs="http://schemas.microsoft.com/office/spreadsheetml/2023/externalCodeService" uri="{FA53438D-04C0-449E-B49E-183307DE486D}">
      <xlecs:externalCodeService autoShow="0"/>
    </ext>
  </extLst>
</workbook>
</file>

<file path=xl/calcChain.xml><?xml version="1.0" encoding="utf-8"?>
<calcChain xmlns="http://schemas.openxmlformats.org/spreadsheetml/2006/main">
  <c r="C39" i="7" l="1"/>
  <c r="AK2" i="8"/>
  <c r="AL2" i="8"/>
  <c r="AM2" i="8"/>
  <c r="AN2" i="8"/>
  <c r="AK3" i="8"/>
  <c r="AL3" i="8"/>
  <c r="AM3" i="8"/>
  <c r="AN3" i="8"/>
  <c r="B22" i="8" a="1"/>
  <c r="B22" i="8" s="1"/>
  <c r="B21" i="8" a="1"/>
  <c r="B21" i="8" s="1"/>
  <c r="B10" i="8" a="1"/>
  <c r="B10" i="8" s="1"/>
  <c r="B9" i="8" a="1"/>
  <c r="B9" i="8" s="1"/>
  <c r="B11" i="8"/>
  <c r="B13" i="8"/>
  <c r="B12" i="8"/>
  <c r="B25" i="8"/>
  <c r="B24" i="8"/>
  <c r="B23" i="8"/>
  <c r="AP3" i="8"/>
  <c r="AO3" i="8"/>
  <c r="AP2" i="8"/>
  <c r="AO2" i="8"/>
  <c r="D17" i="8"/>
  <c r="D5" i="8"/>
  <c r="E7" i="8" a="1"/>
  <c r="E7" i="8" l="1"/>
  <c r="J13" i="7"/>
  <c r="J11" i="7"/>
  <c r="J12" i="7"/>
  <c r="BG2" i="5"/>
  <c r="C61" i="7"/>
  <c r="C60" i="7"/>
  <c r="C59" i="7"/>
  <c r="C58" i="7"/>
  <c r="C57" i="7"/>
  <c r="C56" i="7"/>
  <c r="C55" i="7"/>
  <c r="C54" i="7"/>
  <c r="C53" i="7"/>
  <c r="V52" i="7"/>
  <c r="U52" i="7"/>
  <c r="T52" i="7"/>
  <c r="S52" i="7"/>
  <c r="R52" i="7"/>
  <c r="Q52" i="7"/>
  <c r="P52" i="7"/>
  <c r="O52" i="7"/>
  <c r="N52" i="7"/>
  <c r="M52" i="7"/>
  <c r="L52" i="7"/>
  <c r="K52" i="7"/>
  <c r="J52" i="7"/>
  <c r="I52" i="7"/>
  <c r="H52" i="7"/>
  <c r="G52" i="7"/>
  <c r="F52" i="7"/>
  <c r="E52" i="7"/>
  <c r="D52" i="7"/>
  <c r="C52" i="7"/>
  <c r="C51" i="7"/>
  <c r="W12" i="8" a="1"/>
  <c r="K11" i="8" a="1"/>
  <c r="G11" i="8" a="1"/>
  <c r="Q8" i="8" a="1"/>
  <c r="T7" i="8" a="1"/>
  <c r="S9" i="8" a="1"/>
  <c r="Q19" i="8" a="1"/>
  <c r="W10" i="8" a="1"/>
  <c r="P10" i="8" a="1"/>
  <c r="S13" i="8" a="1"/>
  <c r="G8" i="8" a="1"/>
  <c r="J8" i="8" a="1"/>
  <c r="M8" i="8" a="1"/>
  <c r="N10" i="8" a="1"/>
  <c r="O14" i="8" a="1"/>
  <c r="E8" i="8" a="1"/>
  <c r="N15" i="8" a="1"/>
  <c r="T11" i="8" a="1"/>
  <c r="H7" i="8" a="1"/>
  <c r="K8" i="8" a="1"/>
  <c r="V8" i="8" a="1"/>
  <c r="F14" i="8" a="1"/>
  <c r="L10" i="8" a="1"/>
  <c r="V12" i="8" a="1"/>
  <c r="N11" i="8" a="1"/>
  <c r="T10" i="8" a="1"/>
  <c r="J19" i="8" a="1"/>
  <c r="O7" i="8" a="1"/>
  <c r="U11" i="8" a="1"/>
  <c r="Q15" i="8" a="1"/>
  <c r="H9" i="8" a="1"/>
  <c r="F11" i="8" a="1"/>
  <c r="T9" i="8" a="1"/>
  <c r="T8" i="8" a="1"/>
  <c r="V19" i="8" a="1"/>
  <c r="R10" i="8" a="1"/>
  <c r="O12" i="8" a="1"/>
  <c r="O8" i="8" a="1"/>
  <c r="I8" i="8" a="1"/>
  <c r="L8" i="8" a="1"/>
  <c r="K9" i="8" a="1"/>
  <c r="T14" i="8" a="1"/>
  <c r="L15" i="8" a="1"/>
  <c r="J7" i="8" a="1"/>
  <c r="P11" i="8" a="1"/>
  <c r="F19" i="8" a="1"/>
  <c r="R7" i="8" a="1"/>
  <c r="T19" i="8" a="1"/>
  <c r="R9" i="8" a="1"/>
  <c r="V13" i="8" a="1"/>
  <c r="G19" i="8" a="1"/>
  <c r="F8" i="8" a="1"/>
  <c r="J12" i="8" a="1"/>
  <c r="H10" i="8" a="1"/>
  <c r="U12" i="8" a="1"/>
  <c r="Q14" i="8" a="1"/>
  <c r="T15" i="8" a="1"/>
  <c r="N13" i="8" a="1"/>
  <c r="G15" i="8" a="1"/>
  <c r="U8" i="8" a="1"/>
  <c r="V15" i="8" a="1"/>
  <c r="O10" i="8" a="1"/>
  <c r="I13" i="8" a="1"/>
  <c r="E9" i="8" a="1"/>
  <c r="S14" i="8" a="1"/>
  <c r="E14" i="8" a="1"/>
  <c r="G10" i="8" a="1"/>
  <c r="U13" i="8" a="1"/>
  <c r="K19" i="8" a="1"/>
  <c r="W13" i="8" a="1"/>
  <c r="R14" i="8" a="1"/>
  <c r="F10" i="8" a="1"/>
  <c r="V14" i="8" a="1"/>
  <c r="K15" i="8" a="1"/>
  <c r="I10" i="8" a="1"/>
  <c r="P19" i="8" a="1"/>
  <c r="U9" i="8" a="1"/>
  <c r="I15" i="8" a="1"/>
  <c r="U14" i="8" a="1"/>
  <c r="J15" i="8" a="1"/>
  <c r="I9" i="8" a="1"/>
  <c r="F7" i="8" a="1"/>
  <c r="N8" i="8" a="1"/>
  <c r="H13" i="8" a="1"/>
  <c r="M9" i="8" a="1"/>
  <c r="R19" i="8" a="1"/>
  <c r="E19" i="8" a="1"/>
  <c r="Q11" i="8" a="1"/>
  <c r="I7" i="8" a="1"/>
  <c r="P12" i="8" a="1"/>
  <c r="P8" i="8" a="1"/>
  <c r="E10" i="8" a="1"/>
  <c r="M11" i="8" a="1"/>
  <c r="R11" i="8" a="1"/>
  <c r="U19" i="8" a="1"/>
  <c r="O9" i="8" a="1"/>
  <c r="S11" i="8" a="1"/>
  <c r="S15" i="8" a="1"/>
  <c r="P14" i="8" a="1"/>
  <c r="I14" i="8" a="1"/>
  <c r="K14" i="8" a="1"/>
  <c r="G7" i="8" a="1"/>
  <c r="M14" i="8" a="1"/>
  <c r="M10" i="8" a="1"/>
  <c r="F12" i="8" a="1"/>
  <c r="T13" i="8" a="1"/>
  <c r="L7" i="8" a="1"/>
  <c r="Q9" i="8" a="1"/>
  <c r="R12" i="8" a="1"/>
  <c r="L9" i="8" a="1"/>
  <c r="Q13" i="8" a="1"/>
  <c r="S8" i="8" a="1"/>
  <c r="L11" i="8" a="1"/>
  <c r="W19" i="8" a="1"/>
  <c r="M19" i="8" a="1"/>
  <c r="F15" i="8" a="1"/>
  <c r="R13" i="8" a="1"/>
  <c r="E15" i="8" a="1"/>
  <c r="J14" i="8" a="1"/>
  <c r="K7" i="8" a="1"/>
  <c r="K6" i="5" a="1"/>
  <c r="V10" i="8" a="1"/>
  <c r="N14" i="8" a="1"/>
  <c r="V11" i="8" a="1"/>
  <c r="R15" i="8" a="1"/>
  <c r="O19" i="8" a="1"/>
  <c r="W11" i="8" a="1"/>
  <c r="H19" i="8" a="1"/>
  <c r="H15" i="8" a="1"/>
  <c r="S7" i="8" a="1"/>
  <c r="U10" i="8" a="1"/>
  <c r="P7" i="8" a="1"/>
  <c r="Q7" i="8" a="1"/>
  <c r="S19" i="8" a="1"/>
  <c r="V9" i="8" a="1"/>
  <c r="J11" i="8" a="1"/>
  <c r="N19" i="8" a="1"/>
  <c r="K10" i="8" a="1"/>
  <c r="U7" i="8" a="1"/>
  <c r="H12" i="8" a="1"/>
  <c r="K12" i="8" a="1"/>
  <c r="M15" i="8" a="1"/>
  <c r="L12" i="8" a="1"/>
  <c r="E11" i="8" a="1"/>
  <c r="T12" i="8" a="1"/>
  <c r="J10" i="8" a="1"/>
  <c r="L14" i="8" a="1"/>
  <c r="W9" i="8" a="1"/>
  <c r="O13" i="8" a="1"/>
  <c r="O11" i="8" a="1"/>
  <c r="P15" i="8" a="1"/>
  <c r="W14" i="8" a="1"/>
  <c r="H14" i="8" a="1"/>
  <c r="L19" i="8" a="1"/>
  <c r="F13" i="8" a="1"/>
  <c r="J9" i="8" a="1"/>
  <c r="M7" i="8" a="1"/>
  <c r="U15" i="8" a="1"/>
  <c r="F9" i="8" a="1"/>
  <c r="E12" i="8" a="1"/>
  <c r="M13" i="8" a="1"/>
  <c r="G13" i="8" a="1"/>
  <c r="E13" i="8" a="1"/>
  <c r="R8" i="8" a="1"/>
  <c r="S12" i="8" a="1"/>
  <c r="I19" i="8" a="1"/>
  <c r="N7" i="8" a="1"/>
  <c r="W7" i="8" a="1"/>
  <c r="P13" i="8" a="1"/>
  <c r="H8" i="8" a="1"/>
  <c r="I11" i="8" a="1"/>
  <c r="H11" i="8" a="1"/>
  <c r="M12" i="8" a="1"/>
  <c r="N9" i="8" a="1"/>
  <c r="O15" i="8" a="1"/>
  <c r="Q12" i="8" a="1"/>
  <c r="G9" i="8" a="1"/>
  <c r="V7" i="8" a="1"/>
  <c r="Q10" i="8" a="1"/>
  <c r="J13" i="8" a="1"/>
  <c r="N12" i="8" a="1"/>
  <c r="W15" i="8" a="1"/>
  <c r="S10" i="8" a="1"/>
  <c r="P9" i="8" a="1"/>
  <c r="K13" i="8" a="1"/>
  <c r="W8" i="8" a="1"/>
  <c r="I12" i="8" a="1"/>
  <c r="L13" i="8" a="1"/>
  <c r="G14" i="8" a="1"/>
  <c r="G12" i="8" a="1"/>
  <c r="T13" i="8" l="1"/>
  <c r="T37" i="8" s="1"/>
  <c r="T49" i="8" s="1"/>
  <c r="L11" i="8"/>
  <c r="L35" i="8" s="1"/>
  <c r="L47" i="8" s="1"/>
  <c r="M7" i="8"/>
  <c r="I8" i="8"/>
  <c r="I32" i="8" s="1"/>
  <c r="I44" i="8" s="1"/>
  <c r="U14" i="8"/>
  <c r="U38" i="8" s="1"/>
  <c r="U50" i="8" s="1"/>
  <c r="K13" i="8"/>
  <c r="K37" i="8" s="1"/>
  <c r="K49" i="8" s="1"/>
  <c r="T10" i="8"/>
  <c r="T34" i="8" s="1"/>
  <c r="T46" i="8" s="1"/>
  <c r="T12" i="8"/>
  <c r="T36" i="8" s="1"/>
  <c r="T48" i="8" s="1"/>
  <c r="U13" i="8"/>
  <c r="U37" i="8" s="1"/>
  <c r="U49" i="8" s="1"/>
  <c r="T11" i="8"/>
  <c r="T35" i="8" s="1"/>
  <c r="T47" i="8" s="1"/>
  <c r="L7" i="8"/>
  <c r="V15" i="8"/>
  <c r="V39" i="8" s="1"/>
  <c r="V51" i="8" s="1"/>
  <c r="S15" i="8"/>
  <c r="S39" i="8" s="1"/>
  <c r="S51" i="8" s="1"/>
  <c r="F12" i="8"/>
  <c r="F36" i="8" s="1"/>
  <c r="F48" i="8" s="1"/>
  <c r="W9" i="8"/>
  <c r="W33" i="8" s="1"/>
  <c r="W45" i="8" s="1"/>
  <c r="Q15" i="8"/>
  <c r="Q39" i="8" s="1"/>
  <c r="Q51" i="8" s="1"/>
  <c r="R14" i="8"/>
  <c r="R38" i="8" s="1"/>
  <c r="R50" i="8" s="1"/>
  <c r="P9" i="8"/>
  <c r="P33" i="8" s="1"/>
  <c r="P45" i="8" s="1"/>
  <c r="O12" i="8"/>
  <c r="O36" i="8" s="1"/>
  <c r="O48" i="8" s="1"/>
  <c r="R15" i="8"/>
  <c r="R39" i="8" s="1"/>
  <c r="R51" i="8" s="1"/>
  <c r="I15" i="8"/>
  <c r="I39" i="8" s="1"/>
  <c r="I51" i="8" s="1"/>
  <c r="P13" i="8"/>
  <c r="P37" i="8" s="1"/>
  <c r="P49" i="8" s="1"/>
  <c r="R13" i="8"/>
  <c r="R37" i="8" s="1"/>
  <c r="R49" i="8" s="1"/>
  <c r="T14" i="8"/>
  <c r="T38" i="8" s="1"/>
  <c r="T50" i="8" s="1"/>
  <c r="P12" i="8"/>
  <c r="P36" i="8" s="1"/>
  <c r="P48" i="8" s="1"/>
  <c r="S11" i="8"/>
  <c r="S35" i="8" s="1"/>
  <c r="S47" i="8" s="1"/>
  <c r="U7" i="8"/>
  <c r="V8" i="8"/>
  <c r="V32" i="8" s="1"/>
  <c r="V44" i="8" s="1"/>
  <c r="I13" i="8"/>
  <c r="I37" i="8" s="1"/>
  <c r="I49" i="8" s="1"/>
  <c r="S10" i="8"/>
  <c r="S34" i="8" s="1"/>
  <c r="S46" i="8" s="1"/>
  <c r="N15" i="8"/>
  <c r="N39" i="8" s="1"/>
  <c r="N51" i="8" s="1"/>
  <c r="J11" i="8"/>
  <c r="J35" i="8" s="1"/>
  <c r="J47" i="8" s="1"/>
  <c r="U8" i="8"/>
  <c r="U32" i="8" s="1"/>
  <c r="U44" i="8" s="1"/>
  <c r="P10" i="8"/>
  <c r="P34" i="8" s="1"/>
  <c r="P46" i="8" s="1"/>
  <c r="P14" i="8"/>
  <c r="P38" i="8" s="1"/>
  <c r="P50" i="8" s="1"/>
  <c r="T9" i="8"/>
  <c r="T33" i="8" s="1"/>
  <c r="T45" i="8" s="1"/>
  <c r="F7" i="8"/>
  <c r="I7" i="8"/>
  <c r="S7" i="8"/>
  <c r="J8" i="8"/>
  <c r="J32" i="8" s="1"/>
  <c r="J44" i="8" s="1"/>
  <c r="U12" i="8"/>
  <c r="U36" i="8" s="1"/>
  <c r="U48" i="8" s="1"/>
  <c r="W15" i="8"/>
  <c r="W39" i="8" s="1"/>
  <c r="W51" i="8" s="1"/>
  <c r="O7" i="8"/>
  <c r="F15" i="8"/>
  <c r="F39" i="8" s="1"/>
  <c r="F51" i="8" s="1"/>
  <c r="W13" i="8"/>
  <c r="W37" i="8" s="1"/>
  <c r="W49" i="8" s="1"/>
  <c r="E12" i="8"/>
  <c r="E36" i="8" s="1"/>
  <c r="E48" i="8" s="1"/>
  <c r="R12" i="8"/>
  <c r="R36" i="8" s="1"/>
  <c r="R48" i="8" s="1"/>
  <c r="V12" i="8"/>
  <c r="V36" i="8" s="1"/>
  <c r="V48" i="8" s="1"/>
  <c r="K15" i="8"/>
  <c r="K39" i="8" s="1"/>
  <c r="K51" i="8" s="1"/>
  <c r="I9" i="8"/>
  <c r="I33" i="8" s="1"/>
  <c r="I45" i="8" s="1"/>
  <c r="K7" i="8"/>
  <c r="G11" i="8"/>
  <c r="G35" i="8" s="1"/>
  <c r="G47" i="8" s="1"/>
  <c r="R7" i="8"/>
  <c r="N12" i="8"/>
  <c r="N36" i="8" s="1"/>
  <c r="N48" i="8" s="1"/>
  <c r="W10" i="8"/>
  <c r="W34" i="8" s="1"/>
  <c r="W46" i="8" s="1"/>
  <c r="W11" i="8"/>
  <c r="W35" i="8" s="1"/>
  <c r="W47" i="8" s="1"/>
  <c r="F8" i="8"/>
  <c r="F32" i="8" s="1"/>
  <c r="F44" i="8" s="1"/>
  <c r="I11" i="8"/>
  <c r="I35" i="8" s="1"/>
  <c r="I47" i="8" s="1"/>
  <c r="P8" i="8"/>
  <c r="P32" i="8" s="1"/>
  <c r="P44" i="8" s="1"/>
  <c r="J12" i="8"/>
  <c r="J36" i="8" s="1"/>
  <c r="J48" i="8" s="1"/>
  <c r="E14" i="8"/>
  <c r="E38" i="8" s="1"/>
  <c r="E50" i="8" s="1"/>
  <c r="V14" i="8"/>
  <c r="V38" i="8" s="1"/>
  <c r="V50" i="8" s="1"/>
  <c r="S8" i="8"/>
  <c r="S32" i="8" s="1"/>
  <c r="S44" i="8" s="1"/>
  <c r="S12" i="8"/>
  <c r="S36" i="8" s="1"/>
  <c r="S48" i="8" s="1"/>
  <c r="O8" i="8"/>
  <c r="O32" i="8" s="1"/>
  <c r="O44" i="8" s="1"/>
  <c r="J13" i="8"/>
  <c r="J37" i="8" s="1"/>
  <c r="J49" i="8" s="1"/>
  <c r="H7" i="8"/>
  <c r="Q9" i="8"/>
  <c r="Q33" i="8" s="1"/>
  <c r="Q45" i="8" s="1"/>
  <c r="O10" i="8"/>
  <c r="O34" i="8" s="1"/>
  <c r="O46" i="8" s="1"/>
  <c r="P15" i="8"/>
  <c r="P39" i="8" s="1"/>
  <c r="P51" i="8" s="1"/>
  <c r="K14" i="8"/>
  <c r="K38" i="8" s="1"/>
  <c r="K50" i="8" s="1"/>
  <c r="O14" i="8"/>
  <c r="O38" i="8" s="1"/>
  <c r="O50" i="8" s="1"/>
  <c r="N13" i="8"/>
  <c r="N37" i="8" s="1"/>
  <c r="N49" i="8" s="1"/>
  <c r="S14" i="8"/>
  <c r="S38" i="8" s="1"/>
  <c r="S50" i="8" s="1"/>
  <c r="M10" i="8"/>
  <c r="M34" i="8" s="1"/>
  <c r="M46" i="8" s="1"/>
  <c r="J9" i="8"/>
  <c r="J33" i="8" s="1"/>
  <c r="J45" i="8" s="1"/>
  <c r="U11" i="8"/>
  <c r="U35" i="8" s="1"/>
  <c r="U47" i="8" s="1"/>
  <c r="Q10" i="8"/>
  <c r="Q34" i="8" s="1"/>
  <c r="Q46" i="8" s="1"/>
  <c r="H8" i="8"/>
  <c r="H32" i="8" s="1"/>
  <c r="H44" i="8" s="1"/>
  <c r="E15" i="8"/>
  <c r="E39" i="8" s="1"/>
  <c r="E51" i="8" s="1"/>
  <c r="L15" i="8"/>
  <c r="L39" i="8" s="1"/>
  <c r="L51" i="8" s="1"/>
  <c r="G13" i="8"/>
  <c r="G37" i="8" s="1"/>
  <c r="G49" i="8" s="1"/>
  <c r="N8" i="8"/>
  <c r="N32" i="8" s="1"/>
  <c r="N44" i="8" s="1"/>
  <c r="S9" i="8"/>
  <c r="S33" i="8" s="1"/>
  <c r="S45" i="8" s="1"/>
  <c r="V13" i="8"/>
  <c r="V37" i="8" s="1"/>
  <c r="V49" i="8" s="1"/>
  <c r="T15" i="8"/>
  <c r="T39" i="8" s="1"/>
  <c r="T51" i="8" s="1"/>
  <c r="O9" i="8"/>
  <c r="O33" i="8" s="1"/>
  <c r="O45" i="8" s="1"/>
  <c r="L14" i="8"/>
  <c r="L38" i="8" s="1"/>
  <c r="L50" i="8" s="1"/>
  <c r="K8" i="8"/>
  <c r="K32" i="8" s="1"/>
  <c r="K44" i="8" s="1"/>
  <c r="V7" i="8"/>
  <c r="S13" i="8"/>
  <c r="S37" i="8" s="1"/>
  <c r="S49" i="8" s="1"/>
  <c r="I14" i="8"/>
  <c r="I38" i="8" s="1"/>
  <c r="I50" i="8" s="1"/>
  <c r="H10" i="8"/>
  <c r="H34" i="8" s="1"/>
  <c r="H46" i="8" s="1"/>
  <c r="M15" i="8"/>
  <c r="M39" i="8" s="1"/>
  <c r="M51" i="8" s="1"/>
  <c r="M11" i="8"/>
  <c r="M35" i="8" s="1"/>
  <c r="M47" i="8" s="1"/>
  <c r="W7" i="8"/>
  <c r="K9" i="8"/>
  <c r="K33" i="8" s="1"/>
  <c r="K45" i="8" s="1"/>
  <c r="R9" i="8"/>
  <c r="R33" i="8" s="1"/>
  <c r="R45" i="8" s="1"/>
  <c r="Q11" i="8"/>
  <c r="Q35" i="8" s="1"/>
  <c r="Q47" i="8" s="1"/>
  <c r="K10" i="8"/>
  <c r="K34" i="8" s="1"/>
  <c r="K46" i="8" s="1"/>
  <c r="G8" i="8"/>
  <c r="G32" i="8" s="1"/>
  <c r="G44" i="8" s="1"/>
  <c r="G9" i="8"/>
  <c r="G33" i="8" s="1"/>
  <c r="G45" i="8" s="1"/>
  <c r="M13" i="8"/>
  <c r="M37" i="8" s="1"/>
  <c r="M49" i="8" s="1"/>
  <c r="L9" i="8"/>
  <c r="L33" i="8" s="1"/>
  <c r="L45" i="8" s="1"/>
  <c r="T8" i="8"/>
  <c r="T32" i="8" s="1"/>
  <c r="T44" i="8" s="1"/>
  <c r="H14" i="8"/>
  <c r="H38" i="8" s="1"/>
  <c r="H50" i="8" s="1"/>
  <c r="I10" i="8"/>
  <c r="I34" i="8" s="1"/>
  <c r="I46" i="8" s="1"/>
  <c r="F9" i="8"/>
  <c r="F33" i="8" s="1"/>
  <c r="F45" i="8" s="1"/>
  <c r="F11" i="8"/>
  <c r="F35" i="8" s="1"/>
  <c r="F47" i="8" s="1"/>
  <c r="L8" i="8"/>
  <c r="L32" i="8" s="1"/>
  <c r="L44" i="8" s="1"/>
  <c r="J15" i="8"/>
  <c r="J39" i="8" s="1"/>
  <c r="J51" i="8" s="1"/>
  <c r="H15" i="8"/>
  <c r="H39" i="8" s="1"/>
  <c r="H51" i="8" s="1"/>
  <c r="K11" i="8"/>
  <c r="K35" i="8" s="1"/>
  <c r="K47" i="8" s="1"/>
  <c r="Q12" i="8"/>
  <c r="Q36" i="8" s="1"/>
  <c r="Q48" i="8" s="1"/>
  <c r="H11" i="8"/>
  <c r="H35" i="8" s="1"/>
  <c r="H47" i="8" s="1"/>
  <c r="E10" i="8"/>
  <c r="E34" i="8" s="1"/>
  <c r="E46" i="8" s="1"/>
  <c r="P11" i="8"/>
  <c r="P35" i="8" s="1"/>
  <c r="P47" i="8" s="1"/>
  <c r="Q7" i="8"/>
  <c r="M9" i="8"/>
  <c r="M33" i="8" s="1"/>
  <c r="M45" i="8" s="1"/>
  <c r="O11" i="8"/>
  <c r="O35" i="8" s="1"/>
  <c r="O47" i="8" s="1"/>
  <c r="L10" i="8"/>
  <c r="L34" i="8" s="1"/>
  <c r="L46" i="8" s="1"/>
  <c r="H9" i="8"/>
  <c r="H33" i="8" s="1"/>
  <c r="H45" i="8" s="1"/>
  <c r="F10" i="8"/>
  <c r="F34" i="8" s="1"/>
  <c r="F46" i="8" s="1"/>
  <c r="J14" i="8"/>
  <c r="J38" i="8" s="1"/>
  <c r="J50" i="8" s="1"/>
  <c r="R8" i="8"/>
  <c r="R32" i="8" s="1"/>
  <c r="R44" i="8" s="1"/>
  <c r="O15" i="8"/>
  <c r="O39" i="8" s="1"/>
  <c r="O51" i="8" s="1"/>
  <c r="W14" i="8"/>
  <c r="W38" i="8" s="1"/>
  <c r="W50" i="8" s="1"/>
  <c r="G7" i="8"/>
  <c r="N11" i="8"/>
  <c r="N35" i="8" s="1"/>
  <c r="N47" i="8" s="1"/>
  <c r="E11" i="8"/>
  <c r="E35" i="8" s="1"/>
  <c r="E47" i="8" s="1"/>
  <c r="G10" i="8"/>
  <c r="G34" i="8" s="1"/>
  <c r="G46" i="8" s="1"/>
  <c r="K12" i="8"/>
  <c r="K36" i="8" s="1"/>
  <c r="K48" i="8" s="1"/>
  <c r="N10" i="8"/>
  <c r="N34" i="8" s="1"/>
  <c r="N46" i="8" s="1"/>
  <c r="F14" i="8"/>
  <c r="F38" i="8" s="1"/>
  <c r="F50" i="8" s="1"/>
  <c r="E9" i="8"/>
  <c r="E33" i="8" s="1"/>
  <c r="E45" i="8" s="1"/>
  <c r="Q13" i="8"/>
  <c r="Q37" i="8" s="1"/>
  <c r="Q49" i="8" s="1"/>
  <c r="F13" i="8"/>
  <c r="F37" i="8" s="1"/>
  <c r="F49" i="8" s="1"/>
  <c r="N9" i="8"/>
  <c r="N33" i="8" s="1"/>
  <c r="N45" i="8" s="1"/>
  <c r="E13" i="8"/>
  <c r="E37" i="8" s="1"/>
  <c r="E49" i="8" s="1"/>
  <c r="H13" i="8"/>
  <c r="H37" i="8" s="1"/>
  <c r="H49" i="8" s="1"/>
  <c r="R10" i="8"/>
  <c r="R34" i="8" s="1"/>
  <c r="R46" i="8" s="1"/>
  <c r="V11" i="8"/>
  <c r="V35" i="8" s="1"/>
  <c r="V47" i="8" s="1"/>
  <c r="U9" i="8"/>
  <c r="U33" i="8" s="1"/>
  <c r="U45" i="8" s="1"/>
  <c r="P7" i="8"/>
  <c r="T7" i="8"/>
  <c r="M8" i="8"/>
  <c r="M32" i="8" s="1"/>
  <c r="M44" i="8" s="1"/>
  <c r="Q14" i="8"/>
  <c r="Q38" i="8" s="1"/>
  <c r="Q50" i="8" s="1"/>
  <c r="M14" i="8"/>
  <c r="M38" i="8" s="1"/>
  <c r="M50" i="8" s="1"/>
  <c r="J10" i="8"/>
  <c r="J34" i="8" s="1"/>
  <c r="J46" i="8" s="1"/>
  <c r="M12" i="8"/>
  <c r="M36" i="8" s="1"/>
  <c r="M48" i="8" s="1"/>
  <c r="L12" i="8"/>
  <c r="L36" i="8" s="1"/>
  <c r="L48" i="8" s="1"/>
  <c r="R11" i="8"/>
  <c r="R35" i="8" s="1"/>
  <c r="R47" i="8" s="1"/>
  <c r="E8" i="8"/>
  <c r="E32" i="8" s="1"/>
  <c r="E44" i="8" s="1"/>
  <c r="V9" i="8"/>
  <c r="V33" i="8" s="1"/>
  <c r="V45" i="8" s="1"/>
  <c r="G15" i="8"/>
  <c r="G39" i="8" s="1"/>
  <c r="G51" i="8" s="1"/>
  <c r="N14" i="8"/>
  <c r="N38" i="8" s="1"/>
  <c r="N7" i="8"/>
  <c r="Q8" i="8"/>
  <c r="Q32" i="8" s="1"/>
  <c r="Q44" i="8" s="1"/>
  <c r="O13" i="8"/>
  <c r="O37" i="8" s="1"/>
  <c r="O49" i="8" s="1"/>
  <c r="H12" i="8"/>
  <c r="H36" i="8" s="1"/>
  <c r="H48" i="8" s="1"/>
  <c r="U10" i="8"/>
  <c r="U34" i="8" s="1"/>
  <c r="U46" i="8" s="1"/>
  <c r="V10" i="8"/>
  <c r="V34" i="8" s="1"/>
  <c r="V46" i="8" s="1"/>
  <c r="W12" i="8"/>
  <c r="W36" i="8" s="1"/>
  <c r="W48" i="8" s="1"/>
  <c r="G12" i="8"/>
  <c r="G36" i="8" s="1"/>
  <c r="G48" i="8" s="1"/>
  <c r="G14" i="8"/>
  <c r="G38" i="8" s="1"/>
  <c r="G50" i="8" s="1"/>
  <c r="L13" i="8"/>
  <c r="L37" i="8" s="1"/>
  <c r="L49" i="8" s="1"/>
  <c r="I12" i="8"/>
  <c r="I36" i="8" s="1"/>
  <c r="I48" i="8" s="1"/>
  <c r="W8" i="8"/>
  <c r="W32" i="8" s="1"/>
  <c r="W44" i="8" s="1"/>
  <c r="U15" i="8"/>
  <c r="U39" i="8" s="1"/>
  <c r="U51" i="8" s="1"/>
  <c r="J7" i="8"/>
  <c r="K6" i="5"/>
  <c r="W19" i="8"/>
  <c r="S19" i="8"/>
  <c r="G19" i="8"/>
  <c r="R19" i="8"/>
  <c r="L19" i="8"/>
  <c r="V19" i="8"/>
  <c r="E19" i="8"/>
  <c r="H19" i="8"/>
  <c r="U19" i="8"/>
  <c r="I19" i="8"/>
  <c r="P19" i="8"/>
  <c r="F19" i="8"/>
  <c r="M19" i="8"/>
  <c r="Q19" i="8"/>
  <c r="K19" i="8"/>
  <c r="N19" i="8"/>
  <c r="J19" i="8"/>
  <c r="T19" i="8"/>
  <c r="O19" i="8"/>
  <c r="BG3" i="5"/>
  <c r="K3" i="5" s="1"/>
  <c r="BG4" i="5"/>
  <c r="V11" i="7"/>
  <c r="V12" i="7"/>
  <c r="V13" i="7"/>
  <c r="K10" i="5" a="1"/>
  <c r="K12" i="5" a="1"/>
  <c r="K7" i="5" a="1"/>
  <c r="K8" i="5" a="1"/>
  <c r="K11" i="5" a="1"/>
  <c r="I31" i="8" l="1"/>
  <c r="I43" i="8" s="1"/>
  <c r="N50" i="8"/>
  <c r="Y58" i="5"/>
  <c r="AK58" i="5"/>
  <c r="AE59" i="5"/>
  <c r="Y60" i="5"/>
  <c r="AK60" i="5"/>
  <c r="AE61" i="5"/>
  <c r="Y62" i="5"/>
  <c r="AK62" i="5"/>
  <c r="AE63" i="5"/>
  <c r="Y64" i="5"/>
  <c r="AK64" i="5"/>
  <c r="AE65" i="5"/>
  <c r="Y66" i="5"/>
  <c r="AK66" i="5"/>
  <c r="X65" i="5"/>
  <c r="AO60" i="5"/>
  <c r="AI61" i="5"/>
  <c r="AC64" i="5"/>
  <c r="AC66" i="5"/>
  <c r="AL61" i="5"/>
  <c r="Z65" i="5"/>
  <c r="AA61" i="5"/>
  <c r="AM65" i="5"/>
  <c r="AH60" i="5"/>
  <c r="AN63" i="5"/>
  <c r="AO61" i="5"/>
  <c r="AC65" i="5"/>
  <c r="AD59" i="5"/>
  <c r="AD65" i="5"/>
  <c r="Z58" i="5"/>
  <c r="AL58" i="5"/>
  <c r="AF59" i="5"/>
  <c r="Z60" i="5"/>
  <c r="AL60" i="5"/>
  <c r="AF61" i="5"/>
  <c r="Z62" i="5"/>
  <c r="AL62" i="5"/>
  <c r="AF63" i="5"/>
  <c r="Z64" i="5"/>
  <c r="AL64" i="5"/>
  <c r="AF65" i="5"/>
  <c r="Z66" i="5"/>
  <c r="AL66" i="5"/>
  <c r="X66" i="5"/>
  <c r="AC60" i="5"/>
  <c r="AC62" i="5"/>
  <c r="AO64" i="5"/>
  <c r="X59" i="5"/>
  <c r="AL59" i="5"/>
  <c r="AF64" i="5"/>
  <c r="AG60" i="5"/>
  <c r="AA63" i="5"/>
  <c r="X61" i="5"/>
  <c r="AB59" i="5"/>
  <c r="AB63" i="5"/>
  <c r="AI58" i="5"/>
  <c r="AI64" i="5"/>
  <c r="AJ62" i="5"/>
  <c r="AJ66" i="5"/>
  <c r="AA58" i="5"/>
  <c r="AM58" i="5"/>
  <c r="AG59" i="5"/>
  <c r="AA60" i="5"/>
  <c r="AM60" i="5"/>
  <c r="AG61" i="5"/>
  <c r="AA62" i="5"/>
  <c r="AM62" i="5"/>
  <c r="AG63" i="5"/>
  <c r="AA64" i="5"/>
  <c r="AM64" i="5"/>
  <c r="AG65" i="5"/>
  <c r="AA66" i="5"/>
  <c r="AM66" i="5"/>
  <c r="X58" i="5"/>
  <c r="AI59" i="5"/>
  <c r="AI63" i="5"/>
  <c r="AI65" i="5"/>
  <c r="AE66" i="5"/>
  <c r="AF60" i="5"/>
  <c r="AF62" i="5"/>
  <c r="AF66" i="5"/>
  <c r="AM59" i="5"/>
  <c r="AM63" i="5"/>
  <c r="AG66" i="5"/>
  <c r="AH58" i="5"/>
  <c r="AB65" i="5"/>
  <c r="AC61" i="5"/>
  <c r="AO63" i="5"/>
  <c r="AJ58" i="5"/>
  <c r="AP63" i="5"/>
  <c r="AB58" i="5"/>
  <c r="AN58" i="5"/>
  <c r="AH59" i="5"/>
  <c r="AB60" i="5"/>
  <c r="AN60" i="5"/>
  <c r="AH61" i="5"/>
  <c r="AB62" i="5"/>
  <c r="AN62" i="5"/>
  <c r="AH63" i="5"/>
  <c r="AB64" i="5"/>
  <c r="AN64" i="5"/>
  <c r="AH65" i="5"/>
  <c r="AB66" i="5"/>
  <c r="AN66" i="5"/>
  <c r="AO58" i="5"/>
  <c r="AO62" i="5"/>
  <c r="AO66" i="5"/>
  <c r="Z59" i="5"/>
  <c r="Z63" i="5"/>
  <c r="AA59" i="5"/>
  <c r="AG64" i="5"/>
  <c r="AN59" i="5"/>
  <c r="AH64" i="5"/>
  <c r="AC59" i="5"/>
  <c r="AO65" i="5"/>
  <c r="AD61" i="5"/>
  <c r="AP65" i="5"/>
  <c r="AC58" i="5"/>
  <c r="AH62" i="5"/>
  <c r="AH66" i="5"/>
  <c r="AO59" i="5"/>
  <c r="AC63" i="5"/>
  <c r="AP59" i="5"/>
  <c r="AJ64" i="5"/>
  <c r="AD58" i="5"/>
  <c r="AP58" i="5"/>
  <c r="AJ59" i="5"/>
  <c r="AD60" i="5"/>
  <c r="AP60" i="5"/>
  <c r="AJ61" i="5"/>
  <c r="AD62" i="5"/>
  <c r="AP62" i="5"/>
  <c r="AJ63" i="5"/>
  <c r="AD64" i="5"/>
  <c r="AP64" i="5"/>
  <c r="AJ65" i="5"/>
  <c r="AD66" i="5"/>
  <c r="AP66" i="5"/>
  <c r="Y59" i="5"/>
  <c r="AE60" i="5"/>
  <c r="Y61" i="5"/>
  <c r="AE62" i="5"/>
  <c r="AK63" i="5"/>
  <c r="AE64" i="5"/>
  <c r="AK65" i="5"/>
  <c r="Z61" i="5"/>
  <c r="AL63" i="5"/>
  <c r="X60" i="5"/>
  <c r="AM61" i="5"/>
  <c r="AA65" i="5"/>
  <c r="AN61" i="5"/>
  <c r="AN65" i="5"/>
  <c r="AI60" i="5"/>
  <c r="AI66" i="5"/>
  <c r="AD63" i="5"/>
  <c r="AE58" i="5"/>
  <c r="AK59" i="5"/>
  <c r="AK61" i="5"/>
  <c r="Y63" i="5"/>
  <c r="Y65" i="5"/>
  <c r="AL65" i="5"/>
  <c r="AG62" i="5"/>
  <c r="AB61" i="5"/>
  <c r="X62" i="5"/>
  <c r="AI62" i="5"/>
  <c r="X63" i="5"/>
  <c r="AP61" i="5"/>
  <c r="X64" i="5"/>
  <c r="AF58" i="5"/>
  <c r="AJ60" i="5"/>
  <c r="AG58" i="5"/>
  <c r="J31" i="8"/>
  <c r="J43" i="8" s="1"/>
  <c r="H31" i="8"/>
  <c r="H43" i="8" s="1"/>
  <c r="O31" i="8"/>
  <c r="O43" i="8" s="1"/>
  <c r="T31" i="8"/>
  <c r="T43" i="8" s="1"/>
  <c r="V31" i="8"/>
  <c r="V43" i="8" s="1"/>
  <c r="M31" i="8"/>
  <c r="M43" i="8" s="1"/>
  <c r="F31" i="8"/>
  <c r="F43" i="8" s="1"/>
  <c r="N31" i="8"/>
  <c r="N43" i="8" s="1"/>
  <c r="L31" i="8"/>
  <c r="L43" i="8" s="1"/>
  <c r="W31" i="8"/>
  <c r="W43" i="8" s="1"/>
  <c r="P31" i="8"/>
  <c r="P43" i="8" s="1"/>
  <c r="E31" i="8"/>
  <c r="E43" i="8" s="1"/>
  <c r="R31" i="8"/>
  <c r="R43" i="8" s="1"/>
  <c r="K31" i="8"/>
  <c r="K43" i="8" s="1"/>
  <c r="G31" i="8"/>
  <c r="G43" i="8" s="1"/>
  <c r="Q31" i="8"/>
  <c r="Q43" i="8" s="1"/>
  <c r="S31" i="8"/>
  <c r="S43" i="8" s="1"/>
  <c r="U31" i="8"/>
  <c r="U43" i="8" s="1"/>
  <c r="K8" i="5"/>
  <c r="K7" i="5"/>
  <c r="K11" i="5"/>
  <c r="K12" i="5"/>
  <c r="K10" i="5"/>
  <c r="X24" i="5" s="1"/>
  <c r="C16" i="7"/>
  <c r="D16" i="7"/>
  <c r="E16" i="7"/>
  <c r="F16" i="7"/>
  <c r="G16" i="7"/>
  <c r="H16" i="7"/>
  <c r="I16" i="7"/>
  <c r="J16" i="7"/>
  <c r="K16" i="7"/>
  <c r="L16" i="7"/>
  <c r="M16" i="7"/>
  <c r="N16" i="7"/>
  <c r="O16" i="7"/>
  <c r="P16" i="7"/>
  <c r="Q16" i="7"/>
  <c r="R16" i="7"/>
  <c r="S16" i="7"/>
  <c r="T16" i="7"/>
  <c r="U16" i="7"/>
  <c r="V16" i="7"/>
  <c r="C15" i="7"/>
  <c r="C40" i="7"/>
  <c r="D40" i="7"/>
  <c r="E40" i="7"/>
  <c r="F40" i="7"/>
  <c r="G40" i="7"/>
  <c r="H40" i="7"/>
  <c r="I40" i="7"/>
  <c r="J40" i="7"/>
  <c r="K40" i="7"/>
  <c r="L40" i="7"/>
  <c r="M40" i="7"/>
  <c r="N40" i="7"/>
  <c r="O40" i="7"/>
  <c r="P40" i="7"/>
  <c r="Q40" i="7"/>
  <c r="R40" i="7"/>
  <c r="S40" i="7"/>
  <c r="T40" i="7"/>
  <c r="U40" i="7"/>
  <c r="V40" i="7"/>
  <c r="C41" i="7"/>
  <c r="C42" i="7"/>
  <c r="C43" i="7"/>
  <c r="C44" i="7"/>
  <c r="C45" i="7"/>
  <c r="C46" i="7"/>
  <c r="C47" i="7"/>
  <c r="C48" i="7"/>
  <c r="C49" i="7"/>
  <c r="C27" i="7"/>
  <c r="C28" i="7"/>
  <c r="D28" i="7"/>
  <c r="E28" i="7"/>
  <c r="F28" i="7"/>
  <c r="G28" i="7"/>
  <c r="H28" i="7"/>
  <c r="I28" i="7"/>
  <c r="J28" i="7"/>
  <c r="K28" i="7"/>
  <c r="L28" i="7"/>
  <c r="M28" i="7"/>
  <c r="N28" i="7"/>
  <c r="O28" i="7"/>
  <c r="P28" i="7"/>
  <c r="Q28" i="7"/>
  <c r="R28" i="7"/>
  <c r="S28" i="7"/>
  <c r="T28" i="7"/>
  <c r="U28" i="7"/>
  <c r="V28" i="7"/>
  <c r="C29" i="7"/>
  <c r="C30" i="7"/>
  <c r="C31" i="7"/>
  <c r="C32" i="7"/>
  <c r="C33" i="7"/>
  <c r="C34" i="7"/>
  <c r="C35" i="7"/>
  <c r="C36" i="7"/>
  <c r="C37" i="7"/>
  <c r="C17" i="7"/>
  <c r="C18" i="7"/>
  <c r="C19" i="7"/>
  <c r="C20" i="7"/>
  <c r="C21" i="7"/>
  <c r="C22" i="7"/>
  <c r="C23" i="7"/>
  <c r="C24" i="7"/>
  <c r="C25" i="7"/>
  <c r="AK20" i="5" l="1"/>
  <c r="AP23" i="5"/>
  <c r="AH22" i="5"/>
  <c r="Y17" i="5"/>
  <c r="AH17" i="5"/>
  <c r="AA23" i="5"/>
  <c r="AK17" i="5"/>
  <c r="AE19" i="5"/>
  <c r="AN16" i="5"/>
  <c r="AF24" i="5"/>
  <c r="AD20" i="5"/>
  <c r="AF16" i="5"/>
  <c r="AA22" i="5"/>
  <c r="Z16" i="5"/>
  <c r="F17" i="7" s="1"/>
  <c r="AN21" i="5"/>
  <c r="Y19" i="5"/>
  <c r="AJ24" i="5"/>
  <c r="Y16" i="5"/>
  <c r="AF23" i="5"/>
  <c r="AP17" i="5"/>
  <c r="AH20" i="5"/>
  <c r="AP18" i="5"/>
  <c r="AM20" i="5"/>
  <c r="AJ22" i="5"/>
  <c r="AA21" i="5"/>
  <c r="AP20" i="5"/>
  <c r="AG19" i="5"/>
  <c r="AD23" i="5"/>
  <c r="AF22" i="5"/>
  <c r="AJ19" i="5"/>
  <c r="AI19" i="5"/>
  <c r="AF21" i="5"/>
  <c r="AI24" i="5"/>
  <c r="AN19" i="5"/>
  <c r="AJ17" i="5"/>
  <c r="AM18" i="5"/>
  <c r="AJ20" i="5"/>
  <c r="AG20" i="5"/>
  <c r="AP16" i="5"/>
  <c r="AA18" i="5"/>
  <c r="AP21" i="5"/>
  <c r="AL21" i="5"/>
  <c r="AC24" i="5"/>
  <c r="AD24" i="5"/>
  <c r="AP24" i="5"/>
  <c r="AJ21" i="5"/>
  <c r="AJ23" i="5"/>
  <c r="AM16" i="5"/>
  <c r="AA16" i="5"/>
  <c r="AD21" i="5"/>
  <c r="AK18" i="5"/>
  <c r="AM21" i="5"/>
  <c r="Z23" i="5"/>
  <c r="AF19" i="5"/>
  <c r="AC22" i="5"/>
  <c r="X22" i="5"/>
  <c r="AH18" i="5"/>
  <c r="AJ16" i="5"/>
  <c r="AC20" i="5"/>
  <c r="AL22" i="5"/>
  <c r="AD17" i="5"/>
  <c r="AF20" i="5"/>
  <c r="AE22" i="5"/>
  <c r="AD16" i="5"/>
  <c r="J17" i="7" s="1"/>
  <c r="AE17" i="5"/>
  <c r="AL23" i="5"/>
  <c r="AD19" i="5"/>
  <c r="AK19" i="5"/>
  <c r="AC18" i="5"/>
  <c r="AB19" i="5"/>
  <c r="AJ18" i="5"/>
  <c r="Z21" i="5"/>
  <c r="AB24" i="5"/>
  <c r="AI20" i="5"/>
  <c r="Z24" i="5"/>
  <c r="AN22" i="5"/>
  <c r="AC19" i="5"/>
  <c r="AN17" i="5"/>
  <c r="AO18" i="5"/>
  <c r="Z22" i="5"/>
  <c r="AC23" i="5"/>
  <c r="AG18" i="5"/>
  <c r="AO16" i="5"/>
  <c r="AL20" i="5"/>
  <c r="AO23" i="5"/>
  <c r="AL19" i="5"/>
  <c r="AE18" i="5"/>
  <c r="AM24" i="5"/>
  <c r="AK23" i="5"/>
  <c r="AI23" i="5"/>
  <c r="AM22" i="5"/>
  <c r="AG21" i="5"/>
  <c r="AO20" i="5"/>
  <c r="AI22" i="5"/>
  <c r="AO24" i="5"/>
  <c r="AM19" i="5"/>
  <c r="AL24" i="5"/>
  <c r="AP19" i="5"/>
  <c r="AF17" i="5"/>
  <c r="AI21" i="5"/>
  <c r="AA19" i="5"/>
  <c r="X18" i="5"/>
  <c r="Y24" i="5"/>
  <c r="AE24" i="5"/>
  <c r="AN20" i="5"/>
  <c r="Y22" i="5"/>
  <c r="AI16" i="5"/>
  <c r="AB17" i="5"/>
  <c r="AC16" i="5"/>
  <c r="I17" i="7" s="1"/>
  <c r="Z20" i="5"/>
  <c r="AC21" i="5"/>
  <c r="AM17" i="5"/>
  <c r="AN24" i="5"/>
  <c r="AL18" i="5"/>
  <c r="AO21" i="5"/>
  <c r="Z19" i="5"/>
  <c r="AD22" i="5"/>
  <c r="AA20" i="5"/>
  <c r="AG22" i="5"/>
  <c r="AB21" i="5"/>
  <c r="AN18" i="5"/>
  <c r="T19" i="7" s="1"/>
  <c r="Y20" i="5"/>
  <c r="AH16" i="5"/>
  <c r="Z18" i="5"/>
  <c r="AA17" i="5"/>
  <c r="G18" i="7" s="1"/>
  <c r="AL16" i="5"/>
  <c r="AF18" i="5"/>
  <c r="AB16" i="5"/>
  <c r="AN23" i="5"/>
  <c r="Y23" i="5"/>
  <c r="AH21" i="5"/>
  <c r="AE23" i="5"/>
  <c r="AG24" i="5"/>
  <c r="AG16" i="5"/>
  <c r="AB20" i="5"/>
  <c r="AK24" i="5"/>
  <c r="AI18" i="5"/>
  <c r="AL17" i="5"/>
  <c r="AO22" i="5"/>
  <c r="AA24" i="5"/>
  <c r="AG17" i="5"/>
  <c r="M18" i="7" s="1"/>
  <c r="Y21" i="5"/>
  <c r="AH24" i="5"/>
  <c r="AH23" i="5"/>
  <c r="AO17" i="5"/>
  <c r="AB22" i="5"/>
  <c r="AO19" i="5"/>
  <c r="AD18" i="5"/>
  <c r="J19" i="7" s="1"/>
  <c r="AE16" i="5"/>
  <c r="Y18" i="5"/>
  <c r="AP22" i="5"/>
  <c r="AG23" i="5"/>
  <c r="AK16" i="5"/>
  <c r="AB23" i="5"/>
  <c r="AE20" i="5"/>
  <c r="AH19" i="5"/>
  <c r="AE21" i="5"/>
  <c r="AM23" i="5"/>
  <c r="AK21" i="5"/>
  <c r="AB18" i="5"/>
  <c r="AK22" i="5"/>
  <c r="AC17" i="5"/>
  <c r="Z17" i="5"/>
  <c r="AI17" i="5"/>
  <c r="X23" i="5"/>
  <c r="X21" i="5"/>
  <c r="X16" i="5"/>
  <c r="D17" i="7" s="1"/>
  <c r="X20" i="5"/>
  <c r="X17" i="5"/>
  <c r="X19" i="5"/>
  <c r="Y31" i="5"/>
  <c r="Z31" i="5"/>
  <c r="AL31" i="5"/>
  <c r="AF32" i="5"/>
  <c r="Z33" i="5"/>
  <c r="AL33" i="5"/>
  <c r="AF34" i="5"/>
  <c r="Z35" i="5"/>
  <c r="AF38" i="5"/>
  <c r="AA31" i="5"/>
  <c r="AM31" i="5"/>
  <c r="AG32" i="5"/>
  <c r="AA33" i="5"/>
  <c r="AM33" i="5"/>
  <c r="AG34" i="5"/>
  <c r="AA35" i="5"/>
  <c r="AM35" i="5"/>
  <c r="AG36" i="5"/>
  <c r="AA37" i="5"/>
  <c r="AM37" i="5"/>
  <c r="AG38" i="5"/>
  <c r="AA39" i="5"/>
  <c r="AM39" i="5"/>
  <c r="AB31" i="5"/>
  <c r="AN31" i="5"/>
  <c r="T29" i="7" s="1"/>
  <c r="AH32" i="5"/>
  <c r="AB33" i="5"/>
  <c r="AN33" i="5"/>
  <c r="AH34" i="5"/>
  <c r="AB35" i="5"/>
  <c r="AN35" i="5"/>
  <c r="AH36" i="5"/>
  <c r="AB37" i="5"/>
  <c r="AN37" i="5"/>
  <c r="AH38" i="5"/>
  <c r="AB39" i="5"/>
  <c r="AN39" i="5"/>
  <c r="Y33" i="5"/>
  <c r="AK39" i="5"/>
  <c r="AC31" i="5"/>
  <c r="AO31" i="5"/>
  <c r="AI32" i="5"/>
  <c r="AC33" i="5"/>
  <c r="AO33" i="5"/>
  <c r="AI34" i="5"/>
  <c r="AC35" i="5"/>
  <c r="AO35" i="5"/>
  <c r="AI36" i="5"/>
  <c r="AC37" i="5"/>
  <c r="AO37" i="5"/>
  <c r="AI38" i="5"/>
  <c r="AC39" i="5"/>
  <c r="AO39" i="5"/>
  <c r="AN34" i="5"/>
  <c r="AB36" i="5"/>
  <c r="AN38" i="5"/>
  <c r="AO32" i="5"/>
  <c r="U30" i="7" s="1"/>
  <c r="AC36" i="5"/>
  <c r="AI39" i="5"/>
  <c r="AD34" i="5"/>
  <c r="AJ35" i="5"/>
  <c r="P33" i="7" s="1"/>
  <c r="AP38" i="5"/>
  <c r="AE32" i="5"/>
  <c r="AE36" i="5"/>
  <c r="AE38" i="5"/>
  <c r="AL35" i="5"/>
  <c r="AD31" i="5"/>
  <c r="AP31" i="5"/>
  <c r="AJ32" i="5"/>
  <c r="AD33" i="5"/>
  <c r="AP33" i="5"/>
  <c r="AJ34" i="5"/>
  <c r="P32" i="7" s="1"/>
  <c r="AD35" i="5"/>
  <c r="AP35" i="5"/>
  <c r="V33" i="7" s="1"/>
  <c r="AJ36" i="5"/>
  <c r="AD37" i="5"/>
  <c r="AP37" i="5"/>
  <c r="AJ38" i="5"/>
  <c r="AD39" i="5"/>
  <c r="AP39" i="5"/>
  <c r="AH33" i="5"/>
  <c r="AH35" i="5"/>
  <c r="AH39" i="5"/>
  <c r="AC32" i="5"/>
  <c r="I30" i="7" s="1"/>
  <c r="AI35" i="5"/>
  <c r="AC38" i="5"/>
  <c r="I36" i="7" s="1"/>
  <c r="AJ33" i="5"/>
  <c r="AP36" i="5"/>
  <c r="AK31" i="5"/>
  <c r="Q29" i="7" s="1"/>
  <c r="Y37" i="5"/>
  <c r="AF36" i="5"/>
  <c r="AE31" i="5"/>
  <c r="Y32" i="5"/>
  <c r="AK32" i="5"/>
  <c r="AE33" i="5"/>
  <c r="Y34" i="5"/>
  <c r="AK34" i="5"/>
  <c r="Q32" i="7" s="1"/>
  <c r="AE35" i="5"/>
  <c r="Y36" i="5"/>
  <c r="AK36" i="5"/>
  <c r="AE37" i="5"/>
  <c r="K35" i="7" s="1"/>
  <c r="Y38" i="5"/>
  <c r="AK38" i="5"/>
  <c r="AE39" i="5"/>
  <c r="AB34" i="5"/>
  <c r="AH37" i="5"/>
  <c r="AC34" i="5"/>
  <c r="AO36" i="5"/>
  <c r="AJ31" i="5"/>
  <c r="AD38" i="5"/>
  <c r="AK35" i="5"/>
  <c r="AL37" i="5"/>
  <c r="AF31" i="5"/>
  <c r="Z32" i="5"/>
  <c r="F30" i="7" s="1"/>
  <c r="AL32" i="5"/>
  <c r="AF33" i="5"/>
  <c r="Z34" i="5"/>
  <c r="AL34" i="5"/>
  <c r="AF35" i="5"/>
  <c r="Z36" i="5"/>
  <c r="AL36" i="5"/>
  <c r="AF37" i="5"/>
  <c r="Z38" i="5"/>
  <c r="AL38" i="5"/>
  <c r="AF39" i="5"/>
  <c r="AN32" i="5"/>
  <c r="AB38" i="5"/>
  <c r="AI33" i="5"/>
  <c r="AI37" i="5"/>
  <c r="AP34" i="5"/>
  <c r="AJ37" i="5"/>
  <c r="AK33" i="5"/>
  <c r="Y39" i="5"/>
  <c r="AL39" i="5"/>
  <c r="AG31" i="5"/>
  <c r="AA32" i="5"/>
  <c r="AM32" i="5"/>
  <c r="AG33" i="5"/>
  <c r="AA34" i="5"/>
  <c r="AM34" i="5"/>
  <c r="AG35" i="5"/>
  <c r="AA36" i="5"/>
  <c r="AM36" i="5"/>
  <c r="AG37" i="5"/>
  <c r="M35" i="7" s="1"/>
  <c r="AA38" i="5"/>
  <c r="G36" i="7" s="1"/>
  <c r="AM38" i="5"/>
  <c r="AG39" i="5"/>
  <c r="AB32" i="5"/>
  <c r="AN36" i="5"/>
  <c r="AI31" i="5"/>
  <c r="AO34" i="5"/>
  <c r="AO38" i="5"/>
  <c r="AP32" i="5"/>
  <c r="AD36" i="5"/>
  <c r="AJ39" i="5"/>
  <c r="AE34" i="5"/>
  <c r="K32" i="7" s="1"/>
  <c r="AK37" i="5"/>
  <c r="Z37" i="5"/>
  <c r="AH31" i="5"/>
  <c r="AD32" i="5"/>
  <c r="Y35" i="5"/>
  <c r="E33" i="7" s="1"/>
  <c r="Z39" i="5"/>
  <c r="X35" i="5"/>
  <c r="X36" i="5"/>
  <c r="X37" i="5"/>
  <c r="X34" i="5"/>
  <c r="D32" i="7" s="1"/>
  <c r="X38" i="5"/>
  <c r="X33" i="5"/>
  <c r="X39" i="5"/>
  <c r="X32" i="5"/>
  <c r="X31" i="5"/>
  <c r="Y46" i="5"/>
  <c r="AK46" i="5"/>
  <c r="AE47" i="5"/>
  <c r="K42" i="7" s="1"/>
  <c r="Y48" i="5"/>
  <c r="AK48" i="5"/>
  <c r="AE49" i="5"/>
  <c r="Y50" i="5"/>
  <c r="E45" i="7" s="1"/>
  <c r="AK50" i="5"/>
  <c r="AE51" i="5"/>
  <c r="Y52" i="5"/>
  <c r="AK52" i="5"/>
  <c r="Q47" i="7" s="1"/>
  <c r="AE53" i="5"/>
  <c r="Y54" i="5"/>
  <c r="AK54" i="5"/>
  <c r="Z46" i="5"/>
  <c r="AF47" i="5"/>
  <c r="Z48" i="5"/>
  <c r="F43" i="7" s="1"/>
  <c r="AL48" i="5"/>
  <c r="AF49" i="5"/>
  <c r="Z50" i="5"/>
  <c r="F45" i="7" s="1"/>
  <c r="AL50" i="5"/>
  <c r="R45" i="7" s="1"/>
  <c r="AF51" i="5"/>
  <c r="Z52" i="5"/>
  <c r="AF53" i="5"/>
  <c r="L48" i="7" s="1"/>
  <c r="Z54" i="5"/>
  <c r="AL54" i="5"/>
  <c r="Z51" i="5"/>
  <c r="AA49" i="5"/>
  <c r="AG52" i="5"/>
  <c r="AH54" i="5"/>
  <c r="N49" i="7" s="1"/>
  <c r="AO49" i="5"/>
  <c r="U44" i="7" s="1"/>
  <c r="AI52" i="5"/>
  <c r="AP47" i="5"/>
  <c r="AP53" i="5"/>
  <c r="AL46" i="5"/>
  <c r="R41" i="7" s="1"/>
  <c r="AL52" i="5"/>
  <c r="AF52" i="5"/>
  <c r="AM47" i="5"/>
  <c r="AA53" i="5"/>
  <c r="AO47" i="5"/>
  <c r="AO51" i="5"/>
  <c r="AD47" i="5"/>
  <c r="AJ52" i="5"/>
  <c r="AA46" i="5"/>
  <c r="AM46" i="5"/>
  <c r="AG47" i="5"/>
  <c r="M42" i="7" s="1"/>
  <c r="AA48" i="5"/>
  <c r="AM48" i="5"/>
  <c r="AG49" i="5"/>
  <c r="AA50" i="5"/>
  <c r="AM50" i="5"/>
  <c r="AG51" i="5"/>
  <c r="AA52" i="5"/>
  <c r="AM52" i="5"/>
  <c r="AG53" i="5"/>
  <c r="M48" i="7" s="1"/>
  <c r="AA54" i="5"/>
  <c r="AM54" i="5"/>
  <c r="AN52" i="5"/>
  <c r="AC46" i="5"/>
  <c r="AI47" i="5"/>
  <c r="AO48" i="5"/>
  <c r="AO50" i="5"/>
  <c r="AC52" i="5"/>
  <c r="AI53" i="5"/>
  <c r="O48" i="7" s="1"/>
  <c r="AO54" i="5"/>
  <c r="U49" i="7" s="1"/>
  <c r="AF54" i="5"/>
  <c r="AM49" i="5"/>
  <c r="AG54" i="5"/>
  <c r="AC47" i="5"/>
  <c r="AO53" i="5"/>
  <c r="AD51" i="5"/>
  <c r="AB46" i="5"/>
  <c r="H41" i="7" s="1"/>
  <c r="AN46" i="5"/>
  <c r="AH47" i="5"/>
  <c r="AB48" i="5"/>
  <c r="AN48" i="5"/>
  <c r="AH49" i="5"/>
  <c r="AB50" i="5"/>
  <c r="H45" i="7" s="1"/>
  <c r="AN50" i="5"/>
  <c r="T45" i="7" s="1"/>
  <c r="AH51" i="5"/>
  <c r="AB52" i="5"/>
  <c r="AH53" i="5"/>
  <c r="AB54" i="5"/>
  <c r="AN54" i="5"/>
  <c r="AO46" i="5"/>
  <c r="AC48" i="5"/>
  <c r="AI49" i="5"/>
  <c r="AC50" i="5"/>
  <c r="AI51" i="5"/>
  <c r="AO52" i="5"/>
  <c r="AC54" i="5"/>
  <c r="Z53" i="5"/>
  <c r="F48" i="7" s="1"/>
  <c r="AA47" i="5"/>
  <c r="AM53" i="5"/>
  <c r="AN53" i="5"/>
  <c r="AI48" i="5"/>
  <c r="AC51" i="5"/>
  <c r="I46" i="7" s="1"/>
  <c r="AJ46" i="5"/>
  <c r="AD53" i="5"/>
  <c r="AD46" i="5"/>
  <c r="AP46" i="5"/>
  <c r="AJ47" i="5"/>
  <c r="AD48" i="5"/>
  <c r="AP48" i="5"/>
  <c r="AJ49" i="5"/>
  <c r="AD50" i="5"/>
  <c r="AP50" i="5"/>
  <c r="AJ51" i="5"/>
  <c r="AD52" i="5"/>
  <c r="AP52" i="5"/>
  <c r="AJ53" i="5"/>
  <c r="AD54" i="5"/>
  <c r="AP54" i="5"/>
  <c r="Y47" i="5"/>
  <c r="AK47" i="5"/>
  <c r="AE48" i="5"/>
  <c r="Y49" i="5"/>
  <c r="AK49" i="5"/>
  <c r="Q44" i="7" s="1"/>
  <c r="AE50" i="5"/>
  <c r="Y51" i="5"/>
  <c r="E46" i="7" s="1"/>
  <c r="AK51" i="5"/>
  <c r="Y53" i="5"/>
  <c r="E48" i="7" s="1"/>
  <c r="AK53" i="5"/>
  <c r="AE54" i="5"/>
  <c r="AL53" i="5"/>
  <c r="AG50" i="5"/>
  <c r="M45" i="7" s="1"/>
  <c r="AM51" i="5"/>
  <c r="AI46" i="5"/>
  <c r="AP49" i="5"/>
  <c r="V44" i="7" s="1"/>
  <c r="AE46" i="5"/>
  <c r="AE52" i="5"/>
  <c r="AG48" i="5"/>
  <c r="AC49" i="5"/>
  <c r="AD49" i="5"/>
  <c r="AF46" i="5"/>
  <c r="Z47" i="5"/>
  <c r="AL47" i="5"/>
  <c r="AF48" i="5"/>
  <c r="Z49" i="5"/>
  <c r="AL49" i="5"/>
  <c r="AF50" i="5"/>
  <c r="AL51" i="5"/>
  <c r="AA51" i="5"/>
  <c r="AI50" i="5"/>
  <c r="AC53" i="5"/>
  <c r="AJ48" i="5"/>
  <c r="AJ54" i="5"/>
  <c r="AG46" i="5"/>
  <c r="AP51" i="5"/>
  <c r="AH46" i="5"/>
  <c r="AB47" i="5"/>
  <c r="AN47" i="5"/>
  <c r="AH48" i="5"/>
  <c r="AB49" i="5"/>
  <c r="H44" i="7" s="1"/>
  <c r="AN49" i="5"/>
  <c r="AH50" i="5"/>
  <c r="AB51" i="5"/>
  <c r="AN51" i="5"/>
  <c r="AH52" i="5"/>
  <c r="AB53" i="5"/>
  <c r="H48" i="7" s="1"/>
  <c r="AI54" i="5"/>
  <c r="AJ50" i="5"/>
  <c r="X46" i="5"/>
  <c r="X48" i="5"/>
  <c r="X50" i="5"/>
  <c r="X52" i="5"/>
  <c r="X53" i="5"/>
  <c r="X54" i="5"/>
  <c r="X49" i="5"/>
  <c r="X47" i="5"/>
  <c r="X51" i="5"/>
  <c r="D56" i="7"/>
  <c r="U57" i="7"/>
  <c r="E60" i="7"/>
  <c r="R61" i="7"/>
  <c r="R57" i="7"/>
  <c r="E53" i="7"/>
  <c r="N55" i="7"/>
  <c r="E59" i="7"/>
  <c r="D55" i="7"/>
  <c r="F56" i="7"/>
  <c r="G56" i="7"/>
  <c r="D59" i="7"/>
  <c r="F59" i="7"/>
  <c r="J59" i="7"/>
  <c r="E55" i="7"/>
  <c r="N56" i="7"/>
  <c r="I60" i="7"/>
  <c r="H58" i="7"/>
  <c r="J53" i="7"/>
  <c r="N54" i="7"/>
  <c r="H53" i="7"/>
  <c r="D58" i="7"/>
  <c r="F54" i="7"/>
  <c r="M54" i="7"/>
  <c r="D61" i="7"/>
  <c r="K56" i="7"/>
  <c r="R55" i="7"/>
  <c r="M61" i="7"/>
  <c r="V60" i="7"/>
  <c r="S56" i="7"/>
  <c r="T54" i="7"/>
  <c r="J57" i="7"/>
  <c r="Q53" i="7"/>
  <c r="R59" i="7"/>
  <c r="T56" i="7"/>
  <c r="T61" i="7"/>
  <c r="U59" i="7"/>
  <c r="M60" i="7"/>
  <c r="R56" i="7"/>
  <c r="I53" i="7"/>
  <c r="O59" i="7"/>
  <c r="P56" i="7"/>
  <c r="H55" i="7"/>
  <c r="R53" i="7"/>
  <c r="Q54" i="7"/>
  <c r="P53" i="7"/>
  <c r="O53" i="7"/>
  <c r="H54" i="7"/>
  <c r="Q60" i="7"/>
  <c r="D57" i="7"/>
  <c r="O57" i="7"/>
  <c r="R58" i="7"/>
  <c r="K58" i="7"/>
  <c r="L57" i="7"/>
  <c r="M55" i="7"/>
  <c r="S59" i="7"/>
  <c r="F53" i="7"/>
  <c r="N61" i="7"/>
  <c r="L53" i="7"/>
  <c r="T57" i="7"/>
  <c r="S53" i="7"/>
  <c r="G55" i="7"/>
  <c r="J60" i="7"/>
  <c r="I57" i="7"/>
  <c r="F58" i="7"/>
  <c r="K57" i="7"/>
  <c r="Q59" i="7"/>
  <c r="F61" i="7"/>
  <c r="Q61" i="7"/>
  <c r="V53" i="7"/>
  <c r="E61" i="7"/>
  <c r="O58" i="7"/>
  <c r="H61" i="7"/>
  <c r="E58" i="7"/>
  <c r="T58" i="7"/>
  <c r="G58" i="7"/>
  <c r="K53" i="7"/>
  <c r="K59" i="7"/>
  <c r="J54" i="7"/>
  <c r="J58" i="7"/>
  <c r="T55" i="7"/>
  <c r="K55" i="7"/>
  <c r="V61" i="7"/>
  <c r="I58" i="7"/>
  <c r="T53" i="7"/>
  <c r="G59" i="7"/>
  <c r="M58" i="7"/>
  <c r="S57" i="7"/>
  <c r="O60" i="7"/>
  <c r="D53" i="7"/>
  <c r="G57" i="7"/>
  <c r="J56" i="7"/>
  <c r="G61" i="7"/>
  <c r="D54" i="7"/>
  <c r="G60" i="7"/>
  <c r="J55" i="7"/>
  <c r="K54" i="7"/>
  <c r="Q58" i="7"/>
  <c r="M59" i="7"/>
  <c r="D60" i="7"/>
  <c r="P58" i="7"/>
  <c r="U53" i="7"/>
  <c r="R54" i="7"/>
  <c r="Q56" i="7"/>
  <c r="Q57" i="7"/>
  <c r="K60" i="7"/>
  <c r="L54" i="7"/>
  <c r="U55" i="7"/>
  <c r="S55" i="7"/>
  <c r="V57" i="7"/>
  <c r="N60" i="7"/>
  <c r="I54" i="7"/>
  <c r="I55" i="7"/>
  <c r="P55" i="7"/>
  <c r="L56" i="7"/>
  <c r="M57" i="7"/>
  <c r="U56" i="7"/>
  <c r="T59" i="7"/>
  <c r="N59" i="7"/>
  <c r="L61" i="7"/>
  <c r="O61" i="7"/>
  <c r="U60" i="7"/>
  <c r="N58" i="7"/>
  <c r="U58" i="7"/>
  <c r="K61" i="7"/>
  <c r="V55" i="7"/>
  <c r="S60" i="7"/>
  <c r="L58" i="7"/>
  <c r="E54" i="7"/>
  <c r="L60" i="7"/>
  <c r="U61" i="7"/>
  <c r="F57" i="7"/>
  <c r="H59" i="7"/>
  <c r="H56" i="7"/>
  <c r="N57" i="7"/>
  <c r="G54" i="7"/>
  <c r="S58" i="7"/>
  <c r="P59" i="7"/>
  <c r="L55" i="7"/>
  <c r="O54" i="7"/>
  <c r="I56" i="7"/>
  <c r="V54" i="7"/>
  <c r="H57" i="7"/>
  <c r="S54" i="7"/>
  <c r="H60" i="7"/>
  <c r="V56" i="7"/>
  <c r="T60" i="7"/>
  <c r="F55" i="7"/>
  <c r="J61" i="7"/>
  <c r="N53" i="7"/>
  <c r="V58" i="7"/>
  <c r="S61" i="7"/>
  <c r="G53" i="7"/>
  <c r="Q55" i="7"/>
  <c r="I61" i="7"/>
  <c r="U54" i="7"/>
  <c r="E57" i="7"/>
  <c r="P60" i="7"/>
  <c r="E56" i="7"/>
  <c r="I59" i="7"/>
  <c r="O55" i="7"/>
  <c r="V59" i="7"/>
  <c r="M56" i="7"/>
  <c r="P61" i="7"/>
  <c r="P57" i="7"/>
  <c r="F60" i="7"/>
  <c r="R60" i="7"/>
  <c r="P54" i="7"/>
  <c r="L59" i="7"/>
  <c r="O56" i="7"/>
  <c r="M53" i="7"/>
  <c r="K44" i="7" l="1"/>
  <c r="S30" i="7"/>
  <c r="J34" i="7"/>
  <c r="S44" i="7"/>
  <c r="O19" i="7"/>
  <c r="J46" i="7"/>
  <c r="E32" i="7"/>
  <c r="E35" i="7"/>
  <c r="O43" i="7"/>
  <c r="V46" i="7"/>
  <c r="U48" i="7"/>
  <c r="H31" i="7"/>
  <c r="O34" i="7"/>
  <c r="J29" i="7"/>
  <c r="T46" i="7"/>
  <c r="L47" i="7"/>
  <c r="J41" i="7"/>
  <c r="M31" i="7"/>
  <c r="G45" i="7"/>
  <c r="T34" i="7"/>
  <c r="M33" i="7"/>
  <c r="M30" i="7"/>
  <c r="Q49" i="7"/>
  <c r="U32" i="7"/>
  <c r="P42" i="7"/>
  <c r="L35" i="7"/>
  <c r="V30" i="7"/>
  <c r="N45" i="7"/>
  <c r="Q48" i="7"/>
  <c r="E31" i="7"/>
  <c r="L46" i="7"/>
  <c r="F49" i="7"/>
  <c r="H46" i="7"/>
  <c r="V49" i="7"/>
  <c r="L36" i="7"/>
  <c r="T43" i="7"/>
  <c r="F32" i="7"/>
  <c r="Q45" i="7"/>
  <c r="E37" i="7"/>
  <c r="N44" i="7"/>
  <c r="J45" i="7"/>
  <c r="S45" i="7"/>
  <c r="G17" i="7"/>
  <c r="I42" i="7"/>
  <c r="K43" i="7"/>
  <c r="R46" i="7"/>
  <c r="F29" i="7"/>
  <c r="H30" i="7"/>
  <c r="O45" i="7"/>
  <c r="G42" i="7"/>
  <c r="T18" i="7"/>
  <c r="O41" i="7"/>
  <c r="N35" i="7"/>
  <c r="V45" i="7"/>
  <c r="V34" i="7"/>
  <c r="D34" i="7"/>
  <c r="P36" i="7"/>
  <c r="N43" i="7"/>
  <c r="H32" i="7"/>
  <c r="J35" i="7"/>
  <c r="T33" i="7"/>
  <c r="T31" i="7"/>
  <c r="K30" i="7"/>
  <c r="P18" i="7"/>
  <c r="R36" i="7"/>
  <c r="H37" i="7"/>
  <c r="T41" i="7"/>
  <c r="R43" i="7"/>
  <c r="U46" i="7"/>
  <c r="P44" i="7"/>
  <c r="R42" i="7"/>
  <c r="T42" i="7"/>
  <c r="S31" i="7"/>
  <c r="D45" i="7"/>
  <c r="R18" i="7"/>
  <c r="F46" i="7"/>
  <c r="K46" i="7"/>
  <c r="U34" i="7"/>
  <c r="U31" i="7"/>
  <c r="H47" i="7"/>
  <c r="F33" i="7"/>
  <c r="V43" i="7"/>
  <c r="O29" i="7"/>
  <c r="G30" i="7"/>
  <c r="E19" i="7"/>
  <c r="V37" i="7"/>
  <c r="Q36" i="7"/>
  <c r="O32" i="7"/>
  <c r="J42" i="7"/>
  <c r="Q33" i="7"/>
  <c r="T44" i="7"/>
  <c r="O18" i="7"/>
  <c r="Q19" i="7"/>
  <c r="K47" i="7"/>
  <c r="E17" i="7"/>
  <c r="M44" i="7"/>
  <c r="T47" i="7"/>
  <c r="H42" i="7"/>
  <c r="O33" i="7"/>
  <c r="T30" i="7"/>
  <c r="N41" i="7"/>
  <c r="V32" i="7"/>
  <c r="J44" i="7"/>
  <c r="R31" i="7"/>
  <c r="U45" i="7"/>
  <c r="P43" i="7"/>
  <c r="D35" i="7"/>
  <c r="K41" i="7"/>
  <c r="S37" i="7"/>
  <c r="M19" i="7"/>
  <c r="K18" i="7"/>
  <c r="S36" i="7"/>
  <c r="R29" i="7"/>
  <c r="S33" i="7"/>
  <c r="N31" i="7"/>
  <c r="M34" i="7"/>
  <c r="J33" i="7"/>
  <c r="I33" i="7"/>
  <c r="D31" i="7"/>
  <c r="F44" i="7"/>
  <c r="E49" i="7"/>
  <c r="M41" i="7"/>
  <c r="I48" i="7"/>
  <c r="P30" i="7"/>
  <c r="N32" i="7"/>
  <c r="V41" i="7"/>
  <c r="R48" i="7"/>
  <c r="M49" i="7"/>
  <c r="G32" i="7"/>
  <c r="U41" i="7"/>
  <c r="V42" i="7"/>
  <c r="S17" i="7"/>
  <c r="K19" i="7"/>
  <c r="R17" i="7"/>
  <c r="G37" i="7"/>
  <c r="F37" i="7"/>
  <c r="M43" i="7"/>
  <c r="K31" i="7"/>
  <c r="H34" i="7"/>
  <c r="S46" i="7"/>
  <c r="G43" i="7"/>
  <c r="N46" i="7"/>
  <c r="I32" i="7"/>
  <c r="S42" i="7"/>
  <c r="G34" i="7"/>
  <c r="L43" i="7"/>
  <c r="I19" i="7"/>
  <c r="L42" i="7"/>
  <c r="E42" i="7"/>
  <c r="L45" i="7"/>
  <c r="E43" i="7"/>
  <c r="G29" i="7"/>
  <c r="I41" i="7"/>
  <c r="G41" i="7"/>
  <c r="L34" i="7"/>
  <c r="D48" i="7"/>
  <c r="I29" i="7"/>
  <c r="R33" i="7"/>
  <c r="I18" i="7"/>
  <c r="R34" i="7"/>
  <c r="N33" i="7"/>
  <c r="P19" i="7"/>
  <c r="O42" i="7"/>
  <c r="E41" i="7"/>
  <c r="V18" i="7"/>
  <c r="N17" i="7"/>
  <c r="V17" i="7"/>
  <c r="Q17" i="7"/>
  <c r="O37" i="7"/>
  <c r="G47" i="7"/>
  <c r="M37" i="7"/>
  <c r="E47" i="7"/>
  <c r="D47" i="7"/>
  <c r="E34" i="7"/>
  <c r="J32" i="7"/>
  <c r="Q41" i="7"/>
  <c r="U33" i="7"/>
  <c r="G46" i="7"/>
  <c r="H17" i="7"/>
  <c r="H49" i="7"/>
  <c r="Q31" i="7"/>
  <c r="J18" i="7"/>
  <c r="F47" i="7"/>
  <c r="O47" i="7"/>
  <c r="N48" i="7"/>
  <c r="R30" i="7"/>
  <c r="J47" i="7"/>
  <c r="F31" i="7"/>
  <c r="F34" i="7"/>
  <c r="H29" i="7"/>
  <c r="S43" i="7"/>
  <c r="N29" i="7"/>
  <c r="P31" i="7"/>
  <c r="T32" i="7"/>
  <c r="D43" i="7"/>
  <c r="I35" i="7"/>
  <c r="R32" i="7"/>
  <c r="V48" i="7"/>
  <c r="T35" i="7"/>
  <c r="Q30" i="7"/>
  <c r="K45" i="7"/>
  <c r="P29" i="7"/>
  <c r="D33" i="7"/>
  <c r="P34" i="7"/>
  <c r="U18" i="7"/>
  <c r="M17" i="7"/>
  <c r="U17" i="7"/>
  <c r="S19" i="7"/>
  <c r="V47" i="7"/>
  <c r="K49" i="7"/>
  <c r="T37" i="7"/>
  <c r="J30" i="7"/>
  <c r="V29" i="7"/>
  <c r="M46" i="7"/>
  <c r="K29" i="7"/>
  <c r="K34" i="7"/>
  <c r="O44" i="7"/>
  <c r="M29" i="7"/>
  <c r="J43" i="7"/>
  <c r="Q46" i="7"/>
  <c r="K17" i="7"/>
  <c r="S32" i="7"/>
  <c r="N42" i="7"/>
  <c r="O31" i="7"/>
  <c r="H18" i="7"/>
  <c r="L17" i="7"/>
  <c r="R35" i="7"/>
  <c r="D30" i="7"/>
  <c r="T17" i="7"/>
  <c r="K36" i="7"/>
  <c r="L49" i="7"/>
  <c r="P49" i="7"/>
  <c r="U35" i="7"/>
  <c r="J37" i="7"/>
  <c r="H36" i="7"/>
  <c r="O17" i="7"/>
  <c r="J48" i="7"/>
  <c r="I37" i="7"/>
  <c r="R49" i="7"/>
  <c r="S49" i="7"/>
  <c r="G44" i="7"/>
  <c r="U29" i="7"/>
  <c r="I45" i="7"/>
  <c r="Q43" i="7"/>
  <c r="P45" i="7"/>
  <c r="M32" i="7"/>
  <c r="O30" i="7"/>
  <c r="D42" i="7"/>
  <c r="L44" i="7"/>
  <c r="S35" i="7"/>
  <c r="E44" i="7"/>
  <c r="S29" i="7"/>
  <c r="G33" i="7"/>
  <c r="H33" i="7"/>
  <c r="F41" i="7"/>
  <c r="J31" i="7"/>
  <c r="Q34" i="7"/>
  <c r="E29" i="7"/>
  <c r="F42" i="7"/>
  <c r="H43" i="7"/>
  <c r="F18" i="7"/>
  <c r="U19" i="7"/>
  <c r="P48" i="7"/>
  <c r="D44" i="7"/>
  <c r="L29" i="7"/>
  <c r="T49" i="7"/>
  <c r="R44" i="7"/>
  <c r="I31" i="7"/>
  <c r="S34" i="7"/>
  <c r="F35" i="7"/>
  <c r="U42" i="7"/>
  <c r="L32" i="7"/>
  <c r="S41" i="7"/>
  <c r="Q42" i="7"/>
  <c r="U37" i="7"/>
  <c r="L41" i="7"/>
  <c r="L37" i="7"/>
  <c r="D46" i="7"/>
  <c r="I43" i="7"/>
  <c r="N37" i="7"/>
  <c r="N34" i="7"/>
  <c r="P41" i="7"/>
  <c r="L31" i="7"/>
  <c r="I44" i="7"/>
  <c r="P47" i="7"/>
  <c r="P46" i="7"/>
  <c r="U43" i="7"/>
  <c r="J36" i="7"/>
  <c r="K33" i="7"/>
  <c r="G31" i="7"/>
  <c r="H19" i="7"/>
  <c r="P17" i="7"/>
  <c r="T36" i="7"/>
  <c r="D18" i="7"/>
  <c r="E18" i="7"/>
  <c r="G48" i="7"/>
  <c r="O46" i="7"/>
  <c r="N30" i="7"/>
  <c r="I34" i="7"/>
  <c r="S18" i="7"/>
  <c r="L18" i="7"/>
  <c r="V19" i="7"/>
  <c r="I47" i="7"/>
  <c r="R47" i="7"/>
  <c r="S47" i="7"/>
  <c r="G49" i="7"/>
  <c r="Q37" i="7"/>
  <c r="D41" i="7"/>
  <c r="D36" i="7"/>
  <c r="L33" i="7"/>
  <c r="E30" i="7"/>
  <c r="D29" i="7"/>
  <c r="D49" i="7"/>
  <c r="V31" i="7"/>
  <c r="L30" i="7"/>
  <c r="P37" i="7"/>
  <c r="M36" i="7"/>
  <c r="N18" i="7"/>
  <c r="V36" i="7"/>
  <c r="H35" i="7"/>
  <c r="F36" i="7"/>
  <c r="Q35" i="7"/>
  <c r="P35" i="7"/>
  <c r="M47" i="7"/>
  <c r="S48" i="7"/>
  <c r="O49" i="7"/>
  <c r="E36" i="7"/>
  <c r="D37" i="7"/>
  <c r="K37" i="7"/>
  <c r="O35" i="7"/>
  <c r="G35" i="7"/>
  <c r="K48" i="7"/>
  <c r="O36" i="7"/>
  <c r="R37" i="7"/>
  <c r="I49" i="7"/>
  <c r="N47" i="7"/>
  <c r="J49" i="7"/>
  <c r="U47" i="7"/>
  <c r="N36" i="7"/>
  <c r="V35" i="7"/>
  <c r="T48" i="7"/>
  <c r="U36" i="7"/>
  <c r="R19" i="7"/>
  <c r="N19" i="7"/>
  <c r="G19" i="7"/>
  <c r="Q18" i="7"/>
  <c r="F19" i="7"/>
  <c r="L19" i="7"/>
  <c r="V20" i="7" l="1"/>
  <c r="K20" i="7"/>
  <c r="T20" i="7"/>
  <c r="F20" i="7"/>
  <c r="Q20" i="7"/>
  <c r="N20" i="7"/>
  <c r="R20" i="7"/>
  <c r="P20" i="7"/>
  <c r="I20" i="7"/>
  <c r="J20" i="7"/>
  <c r="H20" i="7"/>
  <c r="U20" i="7"/>
  <c r="E20" i="7"/>
  <c r="O20" i="7"/>
  <c r="S20" i="7"/>
  <c r="M20" i="7"/>
  <c r="L20" i="7"/>
  <c r="G20" i="7"/>
  <c r="D19" i="7"/>
  <c r="J21" i="7" l="1"/>
  <c r="S21" i="7"/>
  <c r="P21" i="7"/>
  <c r="H21" i="7"/>
  <c r="U21" i="7"/>
  <c r="K21" i="7"/>
  <c r="O21" i="7"/>
  <c r="E21" i="7"/>
  <c r="M21" i="7"/>
  <c r="G21" i="7"/>
  <c r="T21" i="7"/>
  <c r="Q21" i="7"/>
  <c r="V21" i="7"/>
  <c r="L21" i="7"/>
  <c r="N21" i="7"/>
  <c r="I21" i="7"/>
  <c r="F21" i="7"/>
  <c r="R21" i="7"/>
  <c r="D20" i="7"/>
  <c r="O22" i="7" l="1"/>
  <c r="V22" i="7"/>
  <c r="P22" i="7"/>
  <c r="G22" i="7"/>
  <c r="U22" i="7"/>
  <c r="S22" i="7"/>
  <c r="H22" i="7"/>
  <c r="M22" i="7"/>
  <c r="K22" i="7"/>
  <c r="I22" i="7"/>
  <c r="N22" i="7"/>
  <c r="F22" i="7"/>
  <c r="E22" i="7"/>
  <c r="R22" i="7"/>
  <c r="T22" i="7"/>
  <c r="J22" i="7"/>
  <c r="L22" i="7"/>
  <c r="Q22" i="7"/>
  <c r="D21" i="7"/>
  <c r="O23" i="7" l="1"/>
  <c r="Q23" i="7"/>
  <c r="G23" i="7"/>
  <c r="S23" i="7"/>
  <c r="I23" i="7"/>
  <c r="V23" i="7"/>
  <c r="L23" i="7"/>
  <c r="N23" i="7"/>
  <c r="P23" i="7"/>
  <c r="F23" i="7"/>
  <c r="R23" i="7"/>
  <c r="H23" i="7"/>
  <c r="U23" i="7"/>
  <c r="J23" i="7"/>
  <c r="T23" i="7"/>
  <c r="M23" i="7"/>
  <c r="K23" i="7"/>
  <c r="E23" i="7"/>
  <c r="D22" i="7"/>
  <c r="G24" i="7" l="1"/>
  <c r="J24" i="7"/>
  <c r="H24" i="7"/>
  <c r="P24" i="7"/>
  <c r="L24" i="7"/>
  <c r="R24" i="7"/>
  <c r="N24" i="7"/>
  <c r="F24" i="7"/>
  <c r="U24" i="7"/>
  <c r="S24" i="7"/>
  <c r="Q24" i="7"/>
  <c r="M24" i="7"/>
  <c r="K24" i="7"/>
  <c r="T24" i="7"/>
  <c r="V24" i="7"/>
  <c r="O24" i="7"/>
  <c r="E24" i="7"/>
  <c r="I24" i="7"/>
  <c r="D23" i="7"/>
  <c r="J25" i="7" l="1"/>
  <c r="T25" i="7"/>
  <c r="N25" i="7"/>
  <c r="G25" i="7"/>
  <c r="O25" i="7"/>
  <c r="L25" i="7"/>
  <c r="U25" i="7"/>
  <c r="Q25" i="7"/>
  <c r="S25" i="7"/>
  <c r="I25" i="7"/>
  <c r="K25" i="7"/>
  <c r="P25" i="7"/>
  <c r="E25" i="7"/>
  <c r="F25" i="7"/>
  <c r="H25" i="7"/>
  <c r="V25" i="7"/>
  <c r="R25" i="7"/>
  <c r="M25" i="7"/>
  <c r="D24" i="7"/>
  <c r="D25" i="7"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<sst xmlns="http://schemas.openxmlformats.org/spreadsheetml/2006/main" count="495" uniqueCount="120">
  <si>
    <t xml:space="preserve"> </t>
  </si>
  <si>
    <t>Code Year:</t>
  </si>
  <si>
    <t>BPF Approach:</t>
  </si>
  <si>
    <t>As Published</t>
  </si>
  <si>
    <t>Code Year</t>
  </si>
  <si>
    <t xml:space="preserve">Electricity </t>
  </si>
  <si>
    <t xml:space="preserve">Natural Gas (Fossil Fuel) </t>
  </si>
  <si>
    <t>90.1-2025</t>
  </si>
  <si>
    <t>Cost:</t>
  </si>
  <si>
    <t>$/site kWh</t>
  </si>
  <si>
    <t>$/site kBTU</t>
  </si>
  <si>
    <t xml:space="preserve"> $/therm</t>
  </si>
  <si>
    <t xml:space="preserve"> $/site kBtu</t>
  </si>
  <si>
    <t>lb/site kWh</t>
  </si>
  <si>
    <t>lb/site kBTU</t>
  </si>
  <si>
    <t xml:space="preserve"> lb/therm</t>
  </si>
  <si>
    <t xml:space="preserve"> lb/site kBtu</t>
  </si>
  <si>
    <t>Source:</t>
  </si>
  <si>
    <t>source kBtu/ site kWh</t>
  </si>
  <si>
    <t>source kBtu/ site kBTU</t>
  </si>
  <si>
    <t xml:space="preserve"> kBtu/therm</t>
  </si>
  <si>
    <t xml:space="preserve"> source kBtu/site kBtu</t>
  </si>
  <si>
    <t>Code Year Options</t>
  </si>
  <si>
    <t>Coefficent Tables</t>
  </si>
  <si>
    <t>Elec_Cost</t>
  </si>
  <si>
    <t>Gas_Cost</t>
  </si>
  <si>
    <t>Elec_Source</t>
  </si>
  <si>
    <t>Gas_Source</t>
  </si>
  <si>
    <t>BPF Approach</t>
  </si>
  <si>
    <t>&lt;&lt;----DO NOT Delete formula</t>
  </si>
  <si>
    <t>Coeff Tables</t>
  </si>
  <si>
    <t>Cost</t>
  </si>
  <si>
    <t xml:space="preserve">Source </t>
  </si>
  <si>
    <t>Natural Gas</t>
  </si>
  <si>
    <t>90.1-2025_Pub</t>
  </si>
  <si>
    <t>Coefficient A</t>
  </si>
  <si>
    <t>Proposed Gas/Proposed Electric</t>
  </si>
  <si>
    <t>BPF_Cost</t>
  </si>
  <si>
    <t>Group</t>
  </si>
  <si>
    <t>0A</t>
  </si>
  <si>
    <t>0B</t>
  </si>
  <si>
    <t>1A</t>
  </si>
  <si>
    <t>1B</t>
  </si>
  <si>
    <t>2A</t>
  </si>
  <si>
    <t>2B</t>
  </si>
  <si>
    <t>3A</t>
  </si>
  <si>
    <t>3B</t>
  </si>
  <si>
    <t>3C</t>
  </si>
  <si>
    <t>4A</t>
  </si>
  <si>
    <t>4B</t>
  </si>
  <si>
    <t>4C</t>
  </si>
  <si>
    <t>5A</t>
  </si>
  <si>
    <t>5B</t>
  </si>
  <si>
    <t>5C</t>
  </si>
  <si>
    <t>6A</t>
  </si>
  <si>
    <t>6B</t>
  </si>
  <si>
    <t>7</t>
  </si>
  <si>
    <t>8</t>
  </si>
  <si>
    <t>Apartment</t>
  </si>
  <si>
    <t>A_2025_v4</t>
  </si>
  <si>
    <t>B_2025_v4</t>
  </si>
  <si>
    <t>C_2025_v4</t>
  </si>
  <si>
    <t>Medical</t>
  </si>
  <si>
    <t>Hotel</t>
  </si>
  <si>
    <t>Office</t>
  </si>
  <si>
    <t>Food.Svc</t>
  </si>
  <si>
    <t>Retail</t>
  </si>
  <si>
    <t>School</t>
  </si>
  <si>
    <t>Warehouse</t>
  </si>
  <si>
    <t>Other</t>
  </si>
  <si>
    <t>Coefficient B</t>
  </si>
  <si>
    <t>Baseline Electric/Proposed Electric</t>
  </si>
  <si>
    <t>BPF_Source</t>
  </si>
  <si>
    <t>Coefficient C</t>
  </si>
  <si>
    <t>Baseline Gas/Proposed Electric</t>
  </si>
  <si>
    <t>BPF_Site</t>
  </si>
  <si>
    <t>Elec_Site</t>
  </si>
  <si>
    <t>Gas_Site</t>
  </si>
  <si>
    <t>Do not delete</t>
  </si>
  <si>
    <t>Custom1</t>
  </si>
  <si>
    <t>Custom2</t>
  </si>
  <si>
    <t>Table 1</t>
  </si>
  <si>
    <t>Approach</t>
  </si>
  <si>
    <t>Type</t>
  </si>
  <si>
    <t>Elec Cost</t>
  </si>
  <si>
    <t>Do Not Edit Cells Below</t>
  </si>
  <si>
    <t>Gas Cost</t>
  </si>
  <si>
    <t>Elec Metric</t>
  </si>
  <si>
    <t>Gas Metric</t>
  </si>
  <si>
    <t>Coefficent A</t>
  </si>
  <si>
    <t>Elec Source</t>
  </si>
  <si>
    <t>Coefficent B</t>
  </si>
  <si>
    <t>Gas Source</t>
  </si>
  <si>
    <t>Coefficent C</t>
  </si>
  <si>
    <t>Table 2</t>
  </si>
  <si>
    <t>Delta Comparison (Table 2 - Table 1)</t>
  </si>
  <si>
    <t>% difference (delta to table 2)</t>
  </si>
  <si>
    <t>Custom</t>
  </si>
  <si>
    <t>source kBtu/therm</t>
  </si>
  <si>
    <t xml:space="preserve"> source kBtu/therm</t>
  </si>
  <si>
    <t>source kBtu/site kWh</t>
  </si>
  <si>
    <t>Custom Metrics Table 1</t>
  </si>
  <si>
    <t>Custom Metrics Table 2</t>
  </si>
  <si>
    <r>
      <t xml:space="preserve">2025 Published BPF Metrics
</t>
    </r>
    <r>
      <rPr>
        <b/>
        <sz val="9"/>
        <color theme="0"/>
        <rFont val="Aptos Display"/>
        <family val="2"/>
      </rPr>
      <t xml:space="preserve"> (provided for reference)</t>
    </r>
  </si>
  <si>
    <t>The BPF Calculator includes a special feature that compares 2 different tables of BPF values. Select the arrow to navigate to the BPF Compare Tool.</t>
  </si>
  <si>
    <t>ASHRAE Standard 90.1-2025 Performance Rating Method (Appendix G) Building Performance Factor Calculation Tool</t>
  </si>
  <si>
    <t>2025 Published BPF Conversion Factors</t>
  </si>
  <si>
    <t>2. After selecting "Custom BPF", enter user defined conversion factors for energy cost, emissions and/or source energy, for both electricity and natural gas, in the light red cells below. When using fossil fuels other than natural gas, enter values using the units as shown (1 therm = 10^5 BTU). The conversion factors used to calculate the 90.1-2025 Published BPF values for energy cost, source energy and GHG emisisons are shown in the table below.</t>
  </si>
  <si>
    <t>Emissions:</t>
  </si>
  <si>
    <t>Elec Emissions</t>
  </si>
  <si>
    <t>Gas Emissions</t>
  </si>
  <si>
    <t xml:space="preserve">Emissions </t>
  </si>
  <si>
    <t>BPF_Emissions</t>
  </si>
  <si>
    <t>Elec_Emissions</t>
  </si>
  <si>
    <t>Gas_Emissions</t>
  </si>
  <si>
    <t xml:space="preserve">Published BPFs in Section 4 of ASHRAE Standard 90.1-2025 are based on nationally representative energy costs.  Informative Appendix I describes a method allowing BPF's to be calculated based on site energy, source energy, or greenhouse gas emissions using representative national values for source energy and greenhouse gas emissions, shown below in the table labeled 2025 Published BPF Conversion Factors. 
By selecting the BPF Approach "As Published", in the table below, the published BPF values from ASHRAE 90.1-2025 Section 4.0 (energy cost) and Informative Appendix I (site energy, source energy and emissions) will be displayed. 
This calculator can be used to develop a custom set of Building Performance Factors (BPFs).  These may be used with the Performance Rating Method of ASHRAE Standard 90.1-2025 when approved by the Rating Authority. Jurisdictions may chose to use this calculator to develop BPF values that better align with local metrics. Where a Jurisdiction requires the use of hourly or other time of use data to calculate energy costs, emissions or source energy, calculate and enter conversion factors representing an annual blended or annual average value. The methodology used by this calculator for calculating custom BPF values is described in ASHRAE 90.1-2025 Informative Appendix I. </t>
  </si>
  <si>
    <r>
      <rPr>
        <b/>
        <sz val="10"/>
        <color rgb="FF000000"/>
        <rFont val="Aptos Display"/>
        <family val="2"/>
      </rPr>
      <t xml:space="preserve">Instructions for Developing Custom BPF Values </t>
    </r>
    <r>
      <rPr>
        <sz val="10"/>
        <color rgb="FF000000"/>
        <rFont val="Aptos Display"/>
        <family val="2"/>
      </rPr>
      <t xml:space="preserve">
1. Select the BPF Approach </t>
    </r>
    <r>
      <rPr>
        <b/>
        <sz val="10"/>
        <color rgb="FF000000"/>
        <rFont val="Aptos Display"/>
        <family val="2"/>
      </rPr>
      <t xml:space="preserve">"Custom BPF" </t>
    </r>
    <r>
      <rPr>
        <sz val="10"/>
        <color rgb="FF000000"/>
        <rFont val="Aptos Display"/>
        <family val="2"/>
      </rPr>
      <t xml:space="preserve">in the table below.
</t>
    </r>
    <r>
      <rPr>
        <b/>
        <sz val="10"/>
        <color rgb="FF000000"/>
        <rFont val="Aptos Display"/>
        <family val="2"/>
      </rPr>
      <t xml:space="preserve">           "As Published"</t>
    </r>
    <r>
      <rPr>
        <sz val="10"/>
        <color rgb="FF000000"/>
        <rFont val="Aptos Display"/>
        <family val="2"/>
      </rPr>
      <t xml:space="preserve">: This choice selects the published BPF values in ASHRAE Standard 90.1-2025 Standard ignoring any user entered metrics for electricity or natural gas.
           </t>
    </r>
    <r>
      <rPr>
        <b/>
        <sz val="10"/>
        <color rgb="FF000000"/>
        <rFont val="Aptos Display"/>
        <family val="2"/>
      </rPr>
      <t>"Custom BPF"</t>
    </r>
    <r>
      <rPr>
        <sz val="10"/>
        <color rgb="FF000000"/>
        <rFont val="Aptos Display"/>
        <family val="2"/>
      </rPr>
      <t xml:space="preserve">:  This choice allows users to create custom BPF values using custom metrics for cost, source energy or emissions. </t>
    </r>
  </si>
  <si>
    <t xml:space="preserve">  Gas Cost</t>
  </si>
  <si>
    <t>ASHRAE Standard 90.1-2025 Performance Rating Method (Appendix G) Building Performance Factor Comparison Tool</t>
  </si>
  <si>
    <r>
      <rPr>
        <u/>
        <sz val="10"/>
        <color rgb="FF000000"/>
        <rFont val="Calibri"/>
        <family val="2"/>
        <scheme val="minor"/>
      </rPr>
      <t>Instructions for BPF Comparison Tool</t>
    </r>
    <r>
      <rPr>
        <sz val="10"/>
        <color rgb="FF000000"/>
        <rFont val="Calibri"/>
        <family val="2"/>
        <scheme val="minor"/>
      </rPr>
      <t xml:space="preserve">
</t>
    </r>
    <r>
      <rPr>
        <sz val="10"/>
        <color rgb="FF000000"/>
        <rFont val="Aptos Display"/>
        <family val="2"/>
      </rPr>
      <t>This worksheet can be used to compare 2 different sets of BPF Values</t>
    </r>
    <r>
      <rPr>
        <sz val="8"/>
        <color rgb="FF000000"/>
        <rFont val="Aptos Display"/>
        <family val="2"/>
      </rPr>
      <t>.</t>
    </r>
    <r>
      <rPr>
        <sz val="10"/>
        <color rgb="FF000000"/>
        <rFont val="Aptos Display"/>
        <family val="2"/>
      </rPr>
      <t xml:space="preserve"> 
</t>
    </r>
    <r>
      <rPr>
        <sz val="5"/>
        <color rgb="FF000000"/>
        <rFont val="Aptos Display"/>
        <family val="2"/>
      </rPr>
      <t xml:space="preserve">
</t>
    </r>
    <r>
      <rPr>
        <sz val="10"/>
        <color rgb="FF000000"/>
        <rFont val="Aptos Display"/>
        <family val="2"/>
      </rPr>
      <t xml:space="preserve">First, select the Approach and BPF metric type in the green cells (to the left) for the 2 cases you want to compare.
</t>
    </r>
    <r>
      <rPr>
        <sz val="5"/>
        <color rgb="FF000000"/>
        <rFont val="Aptos Display"/>
        <family val="2"/>
      </rPr>
      <t xml:space="preserve">
</t>
    </r>
    <r>
      <rPr>
        <sz val="10"/>
        <color rgb="FF000000"/>
        <rFont val="Aptos Display"/>
        <family val="2"/>
      </rPr>
      <t xml:space="preserve">Second, when selecting "Custom" as the Approach, enter user defined metrics for cost, source energy or emissions into the applicable Custom Metrics Table using the light red cells (to the right) .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</si>
</sst>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000"/>
    <numFmt numFmtId="165" formatCode="0.000"/>
    <numFmt numFmtId="166" formatCode="0.000000"/>
    <numFmt numFmtId="167" formatCode="0.00000000"/>
    <numFmt numFmtId="168" formatCode="0.0%"/>
    <numFmt numFmtId="169" formatCode="0.0000000000"/>
  </numFmts>
  <fonts count="34" x14ac:knownFonts="1">
    <font>
      <sz val="11"/>
      <color rgb="FF000000"/>
      <name val="Calibri"/>
      <family val="2"/>
      <scheme val="minor"/>
    </font>
    <font>
      <sz val="11"/>
      <color rgb="FFFF0000"/>
      <name val="Calibri"/>
      <family val="2"/>
      <scheme val="minor"/>
    </font>
    <font>
      <sz val="11"/>
      <color theme="0"/>
      <name val="Calibri"/>
      <family val="2"/>
      <scheme val="minor"/>
    </font>
    <font>
      <sz val="11"/>
      <color theme="5" tint="-0.499984740745262"/>
      <name val="Calibri"/>
      <family val="2"/>
      <scheme val="minor"/>
    </font>
    <font>
      <sz val="11"/>
      <color rgb="FF000000"/>
      <name val="Franklin Gothic Medium"/>
      <family val="2"/>
    </font>
    <font>
      <sz val="9"/>
      <color rgb="FF000000"/>
      <name val="Calibri"/>
      <family val="2"/>
      <scheme val="minor"/>
    </font>
    <font>
      <b/>
      <sz val="11"/>
      <color rgb="FF000000"/>
      <name val="Calibri"/>
      <family val="2"/>
      <scheme val="minor"/>
    </font>
    <font>
      <sz val="11"/>
      <color rgb="FF000000"/>
      <name val="Aptos Display"/>
      <family val="2"/>
    </font>
    <font>
      <sz val="12"/>
      <color rgb="FF000000"/>
      <name val="Aptos Display"/>
      <family val="2"/>
    </font>
    <font>
      <sz val="9"/>
      <color rgb="FF000000"/>
      <name val="Aptos Display"/>
      <family val="2"/>
    </font>
    <font>
      <sz val="10"/>
      <color rgb="FF000000"/>
      <name val="Aptos Display"/>
      <family val="2"/>
    </font>
    <font>
      <sz val="11"/>
      <color rgb="FF000000"/>
      <name val="Calibri"/>
      <family val="2"/>
      <scheme val="minor"/>
    </font>
    <font>
      <b/>
      <sz val="11"/>
      <color theme="0"/>
      <name val="Calibri"/>
      <family val="2"/>
      <scheme val="minor"/>
    </font>
    <font>
      <sz val="8"/>
      <name val="Calibri"/>
      <family val="2"/>
      <scheme val="minor"/>
    </font>
    <font>
      <b/>
      <sz val="11"/>
      <color theme="0"/>
      <name val="Aptos Display"/>
      <family val="2"/>
    </font>
    <font>
      <sz val="10"/>
      <color rgb="FF000000"/>
      <name val="Calibri"/>
      <family val="2"/>
      <scheme val="minor"/>
    </font>
    <font>
      <b/>
      <sz val="10"/>
      <color theme="0"/>
      <name val="Aptos Display"/>
      <family val="2"/>
    </font>
    <font>
      <sz val="10"/>
      <color theme="5" tint="-0.499984740745262"/>
      <name val="Aptos Display"/>
      <family val="2"/>
    </font>
    <font>
      <b/>
      <sz val="10"/>
      <color theme="0"/>
      <name val="Calibri"/>
      <family val="2"/>
      <scheme val="minor"/>
    </font>
    <font>
      <sz val="8"/>
      <color rgb="FF000000"/>
      <name val="Calibri"/>
      <family val="2"/>
      <scheme val="minor"/>
    </font>
    <font>
      <b/>
      <sz val="9"/>
      <color rgb="FF000000"/>
      <name val="Calibri"/>
      <family val="2"/>
      <scheme val="minor"/>
    </font>
    <font>
      <sz val="11"/>
      <color theme="0" tint="-4.9989318521683403E-2"/>
      <name val="Calibri"/>
      <family val="2"/>
      <scheme val="minor"/>
    </font>
    <font>
      <b/>
      <sz val="11"/>
      <color rgb="FF000000"/>
      <name val="Aptos Display"/>
      <family val="2"/>
    </font>
    <font>
      <b/>
      <sz val="10"/>
      <color rgb="FF000000"/>
      <name val="Aptos Display"/>
      <family val="2"/>
    </font>
    <font>
      <b/>
      <sz val="9"/>
      <color theme="0"/>
      <name val="Aptos Display"/>
      <family val="2"/>
    </font>
    <font>
      <sz val="10"/>
      <color rgb="FF000000"/>
      <name val="Aptos Narrow"/>
      <family val="2"/>
    </font>
    <font>
      <sz val="10"/>
      <color theme="0" tint="-0.14999847407452621"/>
      <name val="Calibri"/>
      <family val="2"/>
      <scheme val="minor"/>
    </font>
    <font>
      <sz val="8"/>
      <color rgb="FF000000"/>
      <name val="Aptos Display"/>
      <family val="2"/>
    </font>
    <font>
      <sz val="11"/>
      <color theme="0" tint="-0.14999847407452621"/>
      <name val="Calibri"/>
      <family val="2"/>
      <scheme val="minor"/>
    </font>
    <font>
      <b/>
      <sz val="11"/>
      <color theme="0" tint="-0.14999847407452621"/>
      <name val="Calibri"/>
      <family val="2"/>
      <scheme val="minor"/>
    </font>
    <font>
      <sz val="11"/>
      <color theme="0" tint="-0.14999847407452621"/>
      <name val="Aptos Display"/>
      <family val="2"/>
    </font>
    <font>
      <b/>
      <sz val="10"/>
      <color theme="5" tint="-0.499984740745262"/>
      <name val="Aptos Display"/>
      <family val="2"/>
    </font>
    <font>
      <u/>
      <sz val="10"/>
      <color rgb="FF000000"/>
      <name val="Calibri"/>
      <family val="2"/>
      <scheme val="minor"/>
    </font>
    <font>
      <sz val="5"/>
      <color rgb="FF000000"/>
      <name val="Aptos Display"/>
      <family val="2"/>
    </font>
  </fonts>
  <fills count="15">
    <fill>
      <patternFill patternType="none"/>
    </fill>
    <fill>
      <patternFill patternType="gray125"/>
    </fill>
    <fill>
      <patternFill patternType="solid">
        <fgColor theme="5" tint="0.79998168889431442"/>
        <bgColor indexed="64"/>
      </patternFill>
    </fill>
    <fill>
      <patternFill patternType="solid">
        <fgColor theme="3"/>
        <bgColor indexed="64"/>
      </patternFill>
    </fill>
    <fill>
      <patternFill patternType="solid">
        <fgColor theme="5"/>
        <bgColor indexed="64"/>
      </patternFill>
    </fill>
    <fill>
      <patternFill patternType="solid">
        <fgColor theme="6"/>
        <bgColor indexed="64"/>
      </patternFill>
    </fill>
    <fill>
      <patternFill patternType="solid">
        <fgColor theme="0" tint="-0.14999847407452621"/>
        <bgColor indexed="64"/>
      </patternFill>
    </fill>
    <fill>
      <patternFill patternType="solid">
        <fgColor theme="4"/>
        <bgColor indexed="64"/>
      </patternFill>
    </fill>
    <fill>
      <patternFill patternType="solid">
        <fgColor theme="9" tint="0.79998168889431442"/>
        <bgColor indexed="64"/>
      </patternFill>
    </fill>
    <fill>
      <patternFill patternType="solid">
        <fgColor theme="1"/>
        <bgColor indexed="64"/>
      </patternFill>
    </fill>
    <fill>
      <patternFill patternType="solid">
        <fgColor theme="0" tint="-0.499984740745262"/>
        <bgColor indexed="64"/>
      </patternFill>
    </fill>
    <fill>
      <patternFill patternType="solid">
        <fgColor rgb="FF00B050"/>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4" tint="0.79998168889431442"/>
        <bgColor indexed="64"/>
      </patternFill>
    </fill>
  </fills>
  <borders count="3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right style="medium">
        <color indexed="64"/>
      </right>
      <top/>
      <bottom/>
      <diagonal/>
    </border>
  </borders>
  <cellStyleXfs count="2">
    <xf numFmtId="0" fontId="0" fillId="0" borderId="0"/>
    <xf numFmtId="9" fontId="11" fillId="0" borderId="0" applyFont="0" applyFill="0" applyBorder="0" applyAlignment="0" applyProtection="0"/>
  </cellStyleXfs>
  <cellXfs count="249">
    <xf numFmtId="0" fontId="0" fillId="0" borderId="0" xfId="0"/>
    <xf numFmtId="0" fontId="0" fillId="0" borderId="0" xfId="0" applyAlignment="1">
      <alignment horizontal="right"/>
    </xf>
    <xf numFmtId="0" fontId="1" fillId="0" borderId="0" xfId="0" applyFont="1"/>
    <xf numFmtId="2" fontId="0" fillId="0" borderId="0" xfId="0" applyNumberFormat="1"/>
    <xf numFmtId="0" fontId="4" fillId="0" borderId="0" xfId="0" applyFont="1"/>
    <xf numFmtId="0" fontId="0" fillId="8" borderId="0" xfId="0" applyFill="1"/>
    <xf numFmtId="0" fontId="3" fillId="0" borderId="0" xfId="0" applyFont="1" applyAlignment="1" applyProtection="1">
      <alignment horizontal="left"/>
      <protection locked="0"/>
    </xf>
    <xf numFmtId="0" fontId="3" fillId="0" borderId="0" xfId="0" applyFont="1" applyAlignment="1" applyProtection="1">
      <alignment horizontal="center"/>
      <protection locked="0"/>
    </xf>
    <xf numFmtId="0" fontId="7" fillId="0" borderId="4" xfId="0" applyFont="1" applyBorder="1"/>
    <xf numFmtId="0" fontId="7" fillId="0" borderId="0" xfId="0" applyFont="1"/>
    <xf numFmtId="0" fontId="7" fillId="0" borderId="7" xfId="0" applyFont="1" applyBorder="1"/>
    <xf numFmtId="0" fontId="7" fillId="0" borderId="5" xfId="0" applyFont="1" applyBorder="1"/>
    <xf numFmtId="0" fontId="9" fillId="0" borderId="4" xfId="0" applyFont="1" applyBorder="1"/>
    <xf numFmtId="0" fontId="10" fillId="0" borderId="0" xfId="0" applyFont="1" applyAlignment="1">
      <alignment horizontal="right"/>
    </xf>
    <xf numFmtId="0" fontId="9" fillId="6" borderId="4" xfId="0" applyFont="1" applyFill="1" applyBorder="1"/>
    <xf numFmtId="0" fontId="10" fillId="6" borderId="0" xfId="0" applyFont="1" applyFill="1" applyAlignment="1">
      <alignment horizontal="right"/>
    </xf>
    <xf numFmtId="0" fontId="9" fillId="0" borderId="5" xfId="0" applyFont="1" applyBorder="1"/>
    <xf numFmtId="0" fontId="10" fillId="0" borderId="6" xfId="0" applyFont="1" applyBorder="1" applyAlignment="1">
      <alignment horizontal="right"/>
    </xf>
    <xf numFmtId="0" fontId="7" fillId="6" borderId="4" xfId="0" applyFont="1" applyFill="1" applyBorder="1"/>
    <xf numFmtId="0" fontId="8" fillId="0" borderId="0" xfId="0" applyFont="1" applyAlignment="1">
      <alignment vertical="top" wrapText="1"/>
    </xf>
    <xf numFmtId="10" fontId="0" fillId="0" borderId="0" xfId="1" applyNumberFormat="1" applyFont="1" applyProtection="1"/>
    <xf numFmtId="2" fontId="9" fillId="0" borderId="0" xfId="0" applyNumberFormat="1" applyFont="1" applyAlignment="1">
      <alignment horizontal="center"/>
    </xf>
    <xf numFmtId="2" fontId="9" fillId="0" borderId="7" xfId="0" applyNumberFormat="1" applyFont="1" applyBorder="1" applyAlignment="1">
      <alignment horizontal="center"/>
    </xf>
    <xf numFmtId="2" fontId="9" fillId="6" borderId="0" xfId="0" applyNumberFormat="1" applyFont="1" applyFill="1" applyAlignment="1">
      <alignment horizontal="center"/>
    </xf>
    <xf numFmtId="2" fontId="9" fillId="6" borderId="7" xfId="0" applyNumberFormat="1" applyFont="1" applyFill="1" applyBorder="1" applyAlignment="1">
      <alignment horizontal="center"/>
    </xf>
    <xf numFmtId="2" fontId="9" fillId="0" borderId="6" xfId="0" applyNumberFormat="1" applyFont="1" applyBorder="1" applyAlignment="1">
      <alignment horizontal="center"/>
    </xf>
    <xf numFmtId="2" fontId="9" fillId="0" borderId="9" xfId="0" applyNumberFormat="1" applyFont="1" applyBorder="1" applyAlignment="1">
      <alignment horizontal="center"/>
    </xf>
    <xf numFmtId="0" fontId="9" fillId="6" borderId="0" xfId="0" applyFont="1" applyFill="1" applyAlignment="1">
      <alignment horizontal="center"/>
    </xf>
    <xf numFmtId="0" fontId="9" fillId="0" borderId="0" xfId="0" applyFont="1" applyAlignment="1">
      <alignment horizontal="center"/>
    </xf>
    <xf numFmtId="0" fontId="9" fillId="0" borderId="6" xfId="0" applyFont="1" applyBorder="1" applyAlignment="1">
      <alignment horizontal="center"/>
    </xf>
    <xf numFmtId="165" fontId="9" fillId="0" borderId="0" xfId="0" applyNumberFormat="1" applyFont="1" applyAlignment="1">
      <alignment horizontal="center"/>
    </xf>
    <xf numFmtId="0" fontId="14" fillId="3" borderId="1" xfId="0" applyFont="1" applyFill="1" applyBorder="1"/>
    <xf numFmtId="0" fontId="14" fillId="3" borderId="2" xfId="0" applyFont="1" applyFill="1" applyBorder="1"/>
    <xf numFmtId="0" fontId="0" fillId="0" borderId="8" xfId="0" applyBorder="1"/>
    <xf numFmtId="164" fontId="17" fillId="2" borderId="8" xfId="0" applyNumberFormat="1" applyFont="1" applyFill="1" applyBorder="1" applyProtection="1">
      <protection locked="0"/>
    </xf>
    <xf numFmtId="0" fontId="17" fillId="2" borderId="8" xfId="0" applyFont="1" applyFill="1" applyBorder="1" applyProtection="1">
      <protection locked="0"/>
    </xf>
    <xf numFmtId="0" fontId="0" fillId="0" borderId="8" xfId="0" applyBorder="1" applyAlignment="1">
      <alignment horizontal="right"/>
    </xf>
    <xf numFmtId="0" fontId="0" fillId="0" borderId="8" xfId="0" applyBorder="1" applyAlignment="1">
      <alignment horizontal="center"/>
    </xf>
    <xf numFmtId="165" fontId="0" fillId="0" borderId="8" xfId="0" applyNumberFormat="1" applyBorder="1" applyAlignment="1">
      <alignment horizontal="center"/>
    </xf>
    <xf numFmtId="0" fontId="7" fillId="0" borderId="8" xfId="0" applyFont="1" applyBorder="1" applyAlignment="1">
      <alignment horizontal="center"/>
    </xf>
    <xf numFmtId="0" fontId="6" fillId="12" borderId="8" xfId="0" applyFont="1" applyFill="1" applyBorder="1" applyAlignment="1">
      <alignment horizontal="right"/>
    </xf>
    <xf numFmtId="0" fontId="6" fillId="12" borderId="8" xfId="0" applyFont="1" applyFill="1" applyBorder="1"/>
    <xf numFmtId="0" fontId="2" fillId="9" borderId="8" xfId="0" applyFont="1" applyFill="1" applyBorder="1"/>
    <xf numFmtId="0" fontId="0" fillId="0" borderId="20" xfId="0" applyBorder="1" applyAlignment="1">
      <alignment horizontal="right"/>
    </xf>
    <xf numFmtId="0" fontId="0" fillId="0" borderId="20" xfId="0" applyBorder="1" applyAlignment="1">
      <alignment horizontal="center"/>
    </xf>
    <xf numFmtId="0" fontId="6" fillId="12" borderId="8" xfId="0" applyFont="1" applyFill="1" applyBorder="1" applyAlignment="1">
      <alignment horizontal="center"/>
    </xf>
    <xf numFmtId="0" fontId="5" fillId="0" borderId="0" xfId="0" applyFont="1"/>
    <xf numFmtId="0" fontId="19" fillId="0" borderId="0" xfId="0" applyFont="1"/>
    <xf numFmtId="164" fontId="19" fillId="0" borderId="0" xfId="0" applyNumberFormat="1" applyFont="1"/>
    <xf numFmtId="2" fontId="19" fillId="0" borderId="0" xfId="0" applyNumberFormat="1" applyFont="1"/>
    <xf numFmtId="164" fontId="19" fillId="0" borderId="20" xfId="0" applyNumberFormat="1" applyFont="1" applyBorder="1" applyAlignment="1">
      <alignment horizontal="right"/>
    </xf>
    <xf numFmtId="164" fontId="19" fillId="0" borderId="20" xfId="0" applyNumberFormat="1" applyFont="1" applyBorder="1" applyAlignment="1">
      <alignment horizontal="center"/>
    </xf>
    <xf numFmtId="0" fontId="20" fillId="12" borderId="8" xfId="0" applyFont="1" applyFill="1" applyBorder="1" applyAlignment="1">
      <alignment horizontal="right"/>
    </xf>
    <xf numFmtId="0" fontId="5" fillId="0" borderId="8" xfId="0" applyFont="1" applyBorder="1" applyAlignment="1">
      <alignment horizontal="center"/>
    </xf>
    <xf numFmtId="0" fontId="20" fillId="12" borderId="21" xfId="0" applyFont="1" applyFill="1" applyBorder="1" applyAlignment="1">
      <alignment horizontal="right"/>
    </xf>
    <xf numFmtId="165" fontId="5" fillId="0" borderId="8" xfId="0" applyNumberFormat="1" applyFont="1" applyBorder="1"/>
    <xf numFmtId="0" fontId="5" fillId="0" borderId="8" xfId="0" applyFont="1" applyBorder="1"/>
    <xf numFmtId="9" fontId="0" fillId="0" borderId="0" xfId="1" applyFont="1" applyProtection="1"/>
    <xf numFmtId="0" fontId="21" fillId="0" borderId="0" xfId="0" applyFont="1"/>
    <xf numFmtId="0" fontId="12" fillId="3" borderId="0" xfId="0" applyFont="1" applyFill="1" applyAlignment="1">
      <alignment horizontal="center"/>
    </xf>
    <xf numFmtId="9" fontId="14" fillId="3" borderId="2" xfId="1" applyFont="1" applyFill="1" applyBorder="1" applyProtection="1"/>
    <xf numFmtId="0" fontId="18" fillId="3" borderId="0" xfId="0" applyFont="1" applyFill="1" applyAlignment="1">
      <alignment horizontal="center"/>
    </xf>
    <xf numFmtId="0" fontId="15" fillId="0" borderId="0" xfId="0" applyFont="1"/>
    <xf numFmtId="0" fontId="16" fillId="3" borderId="4" xfId="0" applyFont="1" applyFill="1" applyBorder="1"/>
    <xf numFmtId="0" fontId="16" fillId="3" borderId="0" xfId="0" applyFont="1" applyFill="1" applyAlignment="1">
      <alignment horizontal="center"/>
    </xf>
    <xf numFmtId="9" fontId="16" fillId="3" borderId="0" xfId="1" applyFont="1" applyFill="1" applyAlignment="1" applyProtection="1">
      <alignment horizontal="center"/>
    </xf>
    <xf numFmtId="0" fontId="15" fillId="0" borderId="8" xfId="0" applyFont="1" applyBorder="1"/>
    <xf numFmtId="0" fontId="10" fillId="0" borderId="8" xfId="0" applyFont="1" applyBorder="1"/>
    <xf numFmtId="0" fontId="0" fillId="13" borderId="0" xfId="0" applyFill="1"/>
    <xf numFmtId="167" fontId="15" fillId="0" borderId="0" xfId="0" applyNumberFormat="1" applyFont="1"/>
    <xf numFmtId="9" fontId="15" fillId="0" borderId="0" xfId="1" applyFont="1" applyProtection="1"/>
    <xf numFmtId="0" fontId="16" fillId="3" borderId="1" xfId="0" applyFont="1" applyFill="1" applyBorder="1"/>
    <xf numFmtId="0" fontId="16" fillId="3" borderId="2" xfId="0" applyFont="1" applyFill="1" applyBorder="1"/>
    <xf numFmtId="9" fontId="16" fillId="3" borderId="2" xfId="1" applyFont="1" applyFill="1" applyBorder="1" applyProtection="1"/>
    <xf numFmtId="0" fontId="18" fillId="11" borderId="0" xfId="0" applyFont="1" applyFill="1" applyProtection="1">
      <protection locked="0"/>
    </xf>
    <xf numFmtId="0" fontId="10" fillId="6" borderId="10" xfId="0" applyFont="1" applyFill="1" applyBorder="1"/>
    <xf numFmtId="0" fontId="10" fillId="6" borderId="11" xfId="0" applyFont="1" applyFill="1" applyBorder="1"/>
    <xf numFmtId="0" fontId="23" fillId="6" borderId="11" xfId="0" applyFont="1" applyFill="1" applyBorder="1" applyAlignment="1">
      <alignment horizontal="right"/>
    </xf>
    <xf numFmtId="0" fontId="10" fillId="6" borderId="12" xfId="0" applyFont="1" applyFill="1" applyBorder="1"/>
    <xf numFmtId="0" fontId="10" fillId="6" borderId="1" xfId="0" applyFont="1" applyFill="1" applyBorder="1"/>
    <xf numFmtId="0" fontId="23" fillId="6" borderId="2" xfId="0" applyFont="1" applyFill="1" applyBorder="1" applyAlignment="1">
      <alignment horizontal="center"/>
    </xf>
    <xf numFmtId="0" fontId="10" fillId="6" borderId="2" xfId="0" applyFont="1" applyFill="1" applyBorder="1" applyAlignment="1">
      <alignment horizontal="center"/>
    </xf>
    <xf numFmtId="0" fontId="10" fillId="6" borderId="2" xfId="0" applyFont="1" applyFill="1" applyBorder="1"/>
    <xf numFmtId="0" fontId="10" fillId="6" borderId="3" xfId="0" applyFont="1" applyFill="1" applyBorder="1"/>
    <xf numFmtId="0" fontId="23" fillId="6" borderId="2" xfId="0" applyFont="1" applyFill="1" applyBorder="1"/>
    <xf numFmtId="0" fontId="10" fillId="0" borderId="4" xfId="0" applyFont="1" applyBorder="1"/>
    <xf numFmtId="0" fontId="10" fillId="0" borderId="0" xfId="0" applyFont="1"/>
    <xf numFmtId="165" fontId="10" fillId="0" borderId="0" xfId="0" applyNumberFormat="1" applyFont="1"/>
    <xf numFmtId="0" fontId="10" fillId="0" borderId="7" xfId="0" applyFont="1" applyBorder="1"/>
    <xf numFmtId="0" fontId="10" fillId="0" borderId="5" xfId="0" applyFont="1" applyBorder="1"/>
    <xf numFmtId="0" fontId="10" fillId="0" borderId="6" xfId="0" applyFont="1" applyBorder="1"/>
    <xf numFmtId="2" fontId="10" fillId="0" borderId="6" xfId="0" applyNumberFormat="1" applyFont="1" applyBorder="1"/>
    <xf numFmtId="0" fontId="10" fillId="0" borderId="9" xfId="0" applyFont="1" applyBorder="1"/>
    <xf numFmtId="0" fontId="10" fillId="0" borderId="0" xfId="0" applyFont="1" applyAlignment="1">
      <alignment vertical="top" wrapText="1"/>
    </xf>
    <xf numFmtId="0" fontId="22" fillId="0" borderId="0" xfId="0" applyFont="1"/>
    <xf numFmtId="0" fontId="10" fillId="0" borderId="0" xfId="0" applyFont="1" applyAlignment="1">
      <alignment horizontal="left" vertical="center" wrapText="1"/>
    </xf>
    <xf numFmtId="0" fontId="14" fillId="3" borderId="3" xfId="0" applyFont="1" applyFill="1" applyBorder="1"/>
    <xf numFmtId="0" fontId="14" fillId="7" borderId="1" xfId="0" applyFont="1" applyFill="1" applyBorder="1"/>
    <xf numFmtId="0" fontId="14" fillId="7" borderId="2" xfId="0" applyFont="1" applyFill="1" applyBorder="1"/>
    <xf numFmtId="0" fontId="14" fillId="7" borderId="3" xfId="0" applyFont="1" applyFill="1" applyBorder="1"/>
    <xf numFmtId="0" fontId="14" fillId="3" borderId="4" xfId="0" applyFont="1" applyFill="1" applyBorder="1"/>
    <xf numFmtId="0" fontId="14" fillId="3" borderId="0" xfId="0" applyFont="1" applyFill="1" applyAlignment="1">
      <alignment horizontal="right"/>
    </xf>
    <xf numFmtId="0" fontId="14" fillId="3" borderId="0" xfId="0" applyFont="1" applyFill="1" applyAlignment="1">
      <alignment horizontal="center"/>
    </xf>
    <xf numFmtId="0" fontId="14" fillId="3" borderId="7" xfId="0" applyFont="1" applyFill="1" applyBorder="1" applyAlignment="1">
      <alignment horizontal="center"/>
    </xf>
    <xf numFmtId="0" fontId="14" fillId="7" borderId="4" xfId="0" applyFont="1" applyFill="1" applyBorder="1"/>
    <xf numFmtId="0" fontId="14" fillId="7" borderId="0" xfId="0" applyFont="1" applyFill="1" applyAlignment="1">
      <alignment horizontal="right"/>
    </xf>
    <xf numFmtId="0" fontId="14" fillId="7" borderId="0" xfId="0" applyFont="1" applyFill="1" applyAlignment="1">
      <alignment horizontal="center"/>
    </xf>
    <xf numFmtId="0" fontId="14" fillId="7" borderId="7" xfId="0" applyFont="1" applyFill="1" applyBorder="1" applyAlignment="1">
      <alignment horizontal="center"/>
    </xf>
    <xf numFmtId="0" fontId="14" fillId="4" borderId="1" xfId="0" applyFont="1" applyFill="1" applyBorder="1"/>
    <xf numFmtId="0" fontId="14" fillId="4" borderId="2" xfId="0" applyFont="1" applyFill="1" applyBorder="1"/>
    <xf numFmtId="0" fontId="14" fillId="4" borderId="3" xfId="0" applyFont="1" applyFill="1" applyBorder="1"/>
    <xf numFmtId="0" fontId="14" fillId="5" borderId="1" xfId="0" applyFont="1" applyFill="1" applyBorder="1"/>
    <xf numFmtId="0" fontId="14" fillId="5" borderId="2" xfId="0" applyFont="1" applyFill="1" applyBorder="1"/>
    <xf numFmtId="0" fontId="14" fillId="5" borderId="3" xfId="0" applyFont="1" applyFill="1" applyBorder="1"/>
    <xf numFmtId="0" fontId="14" fillId="4" borderId="4" xfId="0" applyFont="1" applyFill="1" applyBorder="1"/>
    <xf numFmtId="0" fontId="14" fillId="4" borderId="0" xfId="0" applyFont="1" applyFill="1" applyAlignment="1">
      <alignment horizontal="right"/>
    </xf>
    <xf numFmtId="0" fontId="14" fillId="4" borderId="0" xfId="0" applyFont="1" applyFill="1" applyAlignment="1">
      <alignment horizontal="center"/>
    </xf>
    <xf numFmtId="0" fontId="14" fillId="4" borderId="7" xfId="0" applyFont="1" applyFill="1" applyBorder="1" applyAlignment="1">
      <alignment horizontal="center"/>
    </xf>
    <xf numFmtId="0" fontId="14" fillId="5" borderId="4" xfId="0" applyFont="1" applyFill="1" applyBorder="1"/>
    <xf numFmtId="0" fontId="14" fillId="5" borderId="0" xfId="0" applyFont="1" applyFill="1" applyAlignment="1">
      <alignment horizontal="right"/>
    </xf>
    <xf numFmtId="0" fontId="14" fillId="5" borderId="0" xfId="0" applyFont="1" applyFill="1" applyAlignment="1">
      <alignment horizontal="center"/>
    </xf>
    <xf numFmtId="0" fontId="14" fillId="5" borderId="7" xfId="0" applyFont="1" applyFill="1" applyBorder="1" applyAlignment="1">
      <alignment horizontal="center"/>
    </xf>
    <xf numFmtId="0" fontId="10" fillId="0" borderId="0" xfId="0" applyFont="1" applyAlignment="1">
      <alignment horizontal="left" vertical="top" wrapText="1"/>
    </xf>
    <xf numFmtId="0" fontId="25" fillId="0" borderId="0" xfId="0" applyFont="1"/>
    <xf numFmtId="0" fontId="26" fillId="6" borderId="1" xfId="0" applyFont="1" applyFill="1" applyBorder="1"/>
    <xf numFmtId="166" fontId="26" fillId="6" borderId="3" xfId="0" applyNumberFormat="1" applyFont="1" applyFill="1" applyBorder="1" applyAlignment="1">
      <alignment horizontal="center"/>
    </xf>
    <xf numFmtId="0" fontId="26" fillId="6" borderId="4" xfId="0" applyFont="1" applyFill="1" applyBorder="1"/>
    <xf numFmtId="166" fontId="26" fillId="6" borderId="7" xfId="0" applyNumberFormat="1" applyFont="1" applyFill="1" applyBorder="1" applyAlignment="1">
      <alignment horizontal="center"/>
    </xf>
    <xf numFmtId="0" fontId="26" fillId="6" borderId="7" xfId="0" applyFont="1" applyFill="1" applyBorder="1" applyAlignment="1">
      <alignment horizontal="center"/>
    </xf>
    <xf numFmtId="0" fontId="26" fillId="6" borderId="5" xfId="0" applyFont="1" applyFill="1" applyBorder="1"/>
    <xf numFmtId="0" fontId="26" fillId="6" borderId="9" xfId="0" applyFont="1" applyFill="1" applyBorder="1" applyAlignment="1">
      <alignment horizontal="center"/>
    </xf>
    <xf numFmtId="0" fontId="15" fillId="0" borderId="6" xfId="0" applyFont="1" applyBorder="1" applyAlignment="1">
      <alignment horizontal="center" vertical="center"/>
    </xf>
    <xf numFmtId="0" fontId="15" fillId="0" borderId="11" xfId="0" applyFont="1" applyBorder="1" applyAlignment="1">
      <alignment horizontal="center" vertical="center"/>
    </xf>
    <xf numFmtId="0" fontId="15" fillId="0" borderId="2" xfId="0" applyFont="1" applyBorder="1" applyAlignment="1">
      <alignment horizontal="center" vertical="center"/>
    </xf>
    <xf numFmtId="0" fontId="15" fillId="0" borderId="6" xfId="0" applyFont="1" applyBorder="1" applyAlignment="1">
      <alignment horizontal="right" vertical="center"/>
    </xf>
    <xf numFmtId="2" fontId="9" fillId="0" borderId="6" xfId="0" applyNumberFormat="1" applyFont="1" applyBorder="1" applyAlignment="1">
      <alignment horizontal="center" vertical="center"/>
    </xf>
    <xf numFmtId="2" fontId="9" fillId="0" borderId="6" xfId="1" applyNumberFormat="1" applyFont="1" applyFill="1" applyBorder="1" applyAlignment="1" applyProtection="1">
      <alignment horizontal="center" vertical="center"/>
    </xf>
    <xf numFmtId="0" fontId="15" fillId="0" borderId="11" xfId="0" applyFont="1" applyBorder="1" applyAlignment="1">
      <alignment horizontal="right" vertical="center"/>
    </xf>
    <xf numFmtId="2" fontId="9" fillId="0" borderId="11" xfId="0" applyNumberFormat="1" applyFont="1" applyBorder="1" applyAlignment="1">
      <alignment horizontal="center" vertical="center"/>
    </xf>
    <xf numFmtId="2" fontId="9" fillId="0" borderId="11" xfId="1" applyNumberFormat="1" applyFont="1" applyFill="1" applyBorder="1" applyAlignment="1" applyProtection="1">
      <alignment horizontal="center" vertical="center"/>
    </xf>
    <xf numFmtId="0" fontId="15" fillId="0" borderId="2" xfId="0" applyFont="1" applyBorder="1" applyAlignment="1">
      <alignment horizontal="right" vertical="center"/>
    </xf>
    <xf numFmtId="2" fontId="9" fillId="0" borderId="2" xfId="0" applyNumberFormat="1" applyFont="1" applyBorder="1" applyAlignment="1">
      <alignment horizontal="center" vertical="center"/>
    </xf>
    <xf numFmtId="2" fontId="9" fillId="0" borderId="2" xfId="1" applyNumberFormat="1" applyFont="1" applyFill="1" applyBorder="1" applyAlignment="1" applyProtection="1">
      <alignment horizontal="center" vertical="center"/>
    </xf>
    <xf numFmtId="2" fontId="9" fillId="0" borderId="6" xfId="1" applyNumberFormat="1" applyFont="1" applyBorder="1" applyAlignment="1" applyProtection="1">
      <alignment horizontal="center" vertical="center"/>
    </xf>
    <xf numFmtId="165" fontId="9" fillId="0" borderId="6" xfId="1" applyNumberFormat="1" applyFont="1" applyBorder="1" applyAlignment="1" applyProtection="1">
      <alignment horizontal="center" vertical="center"/>
    </xf>
    <xf numFmtId="2" fontId="9" fillId="12" borderId="11" xfId="0" applyNumberFormat="1" applyFont="1" applyFill="1" applyBorder="1" applyAlignment="1">
      <alignment horizontal="center" vertical="center"/>
    </xf>
    <xf numFmtId="2" fontId="9" fillId="12" borderId="11" xfId="1" applyNumberFormat="1" applyFont="1" applyFill="1" applyBorder="1" applyAlignment="1" applyProtection="1">
      <alignment horizontal="center" vertical="center"/>
    </xf>
    <xf numFmtId="165" fontId="9" fillId="12" borderId="11" xfId="1" applyNumberFormat="1" applyFont="1" applyFill="1" applyBorder="1" applyAlignment="1" applyProtection="1">
      <alignment horizontal="center" vertical="center"/>
    </xf>
    <xf numFmtId="2" fontId="9" fillId="0" borderId="11" xfId="1" applyNumberFormat="1" applyFont="1" applyBorder="1" applyAlignment="1" applyProtection="1">
      <alignment horizontal="center" vertical="center"/>
    </xf>
    <xf numFmtId="165" fontId="9" fillId="0" borderId="11" xfId="1" applyNumberFormat="1" applyFont="1" applyBorder="1" applyAlignment="1" applyProtection="1">
      <alignment horizontal="center" vertical="center"/>
    </xf>
    <xf numFmtId="2" fontId="9" fillId="0" borderId="2" xfId="1" applyNumberFormat="1" applyFont="1" applyBorder="1" applyAlignment="1" applyProtection="1">
      <alignment horizontal="center" vertical="center"/>
    </xf>
    <xf numFmtId="165" fontId="9" fillId="0" borderId="2" xfId="1" applyNumberFormat="1" applyFont="1" applyBorder="1" applyAlignment="1" applyProtection="1">
      <alignment horizontal="center" vertical="center"/>
    </xf>
    <xf numFmtId="168" fontId="27" fillId="0" borderId="6" xfId="1" applyNumberFormat="1" applyFont="1" applyBorder="1" applyAlignment="1" applyProtection="1">
      <alignment horizontal="center" vertical="center"/>
    </xf>
    <xf numFmtId="168" fontId="27" fillId="0" borderId="11" xfId="1" applyNumberFormat="1" applyFont="1" applyBorder="1" applyAlignment="1" applyProtection="1">
      <alignment horizontal="center" vertical="center"/>
    </xf>
    <xf numFmtId="168" fontId="27" fillId="0" borderId="2" xfId="1" applyNumberFormat="1" applyFont="1" applyBorder="1" applyAlignment="1" applyProtection="1">
      <alignment horizontal="center" vertical="center"/>
    </xf>
    <xf numFmtId="169" fontId="0" fillId="0" borderId="0" xfId="0" applyNumberFormat="1"/>
    <xf numFmtId="0" fontId="28" fillId="0" borderId="0" xfId="0" applyFont="1"/>
    <xf numFmtId="0" fontId="29" fillId="12" borderId="0" xfId="0" applyFont="1" applyFill="1"/>
    <xf numFmtId="0" fontId="28" fillId="12" borderId="0" xfId="0" applyFont="1" applyFill="1"/>
    <xf numFmtId="0" fontId="29" fillId="12" borderId="0" xfId="0" applyFont="1" applyFill="1" applyAlignment="1">
      <alignment horizontal="right"/>
    </xf>
    <xf numFmtId="164" fontId="28" fillId="12" borderId="0" xfId="0" applyNumberFormat="1" applyFont="1" applyFill="1"/>
    <xf numFmtId="2" fontId="28" fillId="12" borderId="0" xfId="0" applyNumberFormat="1" applyFont="1" applyFill="1"/>
    <xf numFmtId="0" fontId="28" fillId="12" borderId="10" xfId="0" applyFont="1" applyFill="1" applyBorder="1"/>
    <xf numFmtId="0" fontId="28" fillId="12" borderId="11" xfId="0" applyFont="1" applyFill="1" applyBorder="1"/>
    <xf numFmtId="0" fontId="28" fillId="12" borderId="12" xfId="0" applyFont="1" applyFill="1" applyBorder="1"/>
    <xf numFmtId="0" fontId="28" fillId="12" borderId="19" xfId="0" applyFont="1" applyFill="1" applyBorder="1"/>
    <xf numFmtId="0" fontId="30" fillId="12" borderId="4" xfId="0" applyFont="1" applyFill="1" applyBorder="1"/>
    <xf numFmtId="0" fontId="30" fillId="12" borderId="0" xfId="0" applyFont="1" applyFill="1"/>
    <xf numFmtId="0" fontId="28" fillId="12" borderId="20" xfId="0" applyFont="1" applyFill="1" applyBorder="1"/>
    <xf numFmtId="0" fontId="28" fillId="12" borderId="21" xfId="0" applyFont="1" applyFill="1" applyBorder="1"/>
    <xf numFmtId="0" fontId="28" fillId="0" borderId="0" xfId="0" applyFont="1" applyAlignment="1">
      <alignment horizontal="right"/>
    </xf>
    <xf numFmtId="0" fontId="10" fillId="14" borderId="30" xfId="0" applyFont="1" applyFill="1" applyBorder="1" applyAlignment="1">
      <alignment horizontal="center" vertical="center" wrapText="1"/>
    </xf>
    <xf numFmtId="0" fontId="10" fillId="14" borderId="0" xfId="0" applyFont="1" applyFill="1" applyAlignment="1">
      <alignment horizontal="center" vertical="center" wrapText="1"/>
    </xf>
    <xf numFmtId="0" fontId="10" fillId="14" borderId="13" xfId="0" applyFont="1" applyFill="1" applyBorder="1" applyAlignment="1">
      <alignment horizontal="center" vertical="center" wrapText="1"/>
    </xf>
    <xf numFmtId="0" fontId="10" fillId="14" borderId="18" xfId="0" applyFont="1" applyFill="1" applyBorder="1" applyAlignment="1">
      <alignment horizontal="center" vertical="center" wrapText="1"/>
    </xf>
    <xf numFmtId="0" fontId="10" fillId="14" borderId="14" xfId="0" applyFont="1" applyFill="1" applyBorder="1" applyAlignment="1">
      <alignment horizontal="center" vertical="center" wrapText="1"/>
    </xf>
    <xf numFmtId="0" fontId="10" fillId="14" borderId="31" xfId="0" applyFont="1" applyFill="1" applyBorder="1" applyAlignment="1">
      <alignment horizontal="center" vertical="center" wrapText="1"/>
    </xf>
    <xf numFmtId="0" fontId="10" fillId="14" borderId="15" xfId="0" applyFont="1" applyFill="1" applyBorder="1" applyAlignment="1">
      <alignment horizontal="center" vertical="center" wrapText="1"/>
    </xf>
    <xf numFmtId="0" fontId="10" fillId="14" borderId="16" xfId="0" applyFont="1" applyFill="1" applyBorder="1" applyAlignment="1">
      <alignment horizontal="center" vertical="center" wrapText="1"/>
    </xf>
    <xf numFmtId="0" fontId="10" fillId="14" borderId="17" xfId="0" applyFont="1" applyFill="1" applyBorder="1" applyAlignment="1">
      <alignment horizontal="center" vertical="center" wrapText="1"/>
    </xf>
    <xf numFmtId="0" fontId="23" fillId="0" borderId="0" xfId="0" applyFont="1" applyAlignment="1">
      <alignment horizontal="left" vertical="center" wrapText="1"/>
    </xf>
    <xf numFmtId="0" fontId="22" fillId="0" borderId="0" xfId="0" applyFont="1" applyAlignment="1">
      <alignment horizontal="left" vertical="center"/>
    </xf>
    <xf numFmtId="0" fontId="10" fillId="0" borderId="23" xfId="0" applyFont="1" applyBorder="1" applyAlignment="1">
      <alignment vertical="center"/>
    </xf>
    <xf numFmtId="0" fontId="10" fillId="0" borderId="8" xfId="0" applyFont="1" applyBorder="1" applyAlignment="1">
      <alignment vertical="center"/>
    </xf>
    <xf numFmtId="0" fontId="10" fillId="0" borderId="28" xfId="0" applyFont="1" applyBorder="1" applyAlignment="1">
      <alignment vertical="center"/>
    </xf>
    <xf numFmtId="0" fontId="10" fillId="0" borderId="6" xfId="0" applyFont="1" applyBorder="1" applyAlignment="1">
      <alignment horizontal="right" vertical="center"/>
    </xf>
    <xf numFmtId="0" fontId="10" fillId="0" borderId="11" xfId="0" applyFont="1" applyBorder="1" applyAlignment="1">
      <alignment horizontal="right" vertical="center"/>
    </xf>
    <xf numFmtId="0" fontId="10" fillId="0" borderId="2" xfId="0" applyFont="1" applyBorder="1" applyAlignment="1">
      <alignment horizontal="right" vertical="center"/>
    </xf>
    <xf numFmtId="0" fontId="6" fillId="0" borderId="0" xfId="0" applyFont="1" applyAlignment="1">
      <alignment vertical="center"/>
    </xf>
    <xf numFmtId="0" fontId="10" fillId="0" borderId="0" xfId="0" applyFont="1" applyAlignment="1">
      <alignment horizontal="left" vertical="center" wrapText="1"/>
    </xf>
    <xf numFmtId="0" fontId="7" fillId="0" borderId="0" xfId="0" applyFont="1" applyAlignment="1">
      <alignment horizontal="left" vertical="center" wrapText="1"/>
    </xf>
    <xf numFmtId="0" fontId="10" fillId="0" borderId="0" xfId="0" applyFont="1" applyAlignment="1">
      <alignment horizontal="left" vertical="top" wrapText="1"/>
    </xf>
    <xf numFmtId="0" fontId="10" fillId="0" borderId="0" xfId="0" applyFont="1" applyAlignment="1">
      <alignment horizontal="left" vertical="top"/>
    </xf>
    <xf numFmtId="0" fontId="23" fillId="6" borderId="10" xfId="0" applyFont="1" applyFill="1" applyBorder="1" applyAlignment="1">
      <alignment horizontal="center" wrapText="1"/>
    </xf>
    <xf numFmtId="0" fontId="23" fillId="6" borderId="12" xfId="0" applyFont="1" applyFill="1" applyBorder="1" applyAlignment="1">
      <alignment horizontal="center" wrapText="1"/>
    </xf>
    <xf numFmtId="0" fontId="31" fillId="2" borderId="10" xfId="0" applyFont="1" applyFill="1" applyBorder="1" applyAlignment="1" applyProtection="1">
      <alignment horizontal="left" wrapText="1"/>
      <protection locked="0"/>
    </xf>
    <xf numFmtId="0" fontId="31" fillId="2" borderId="11" xfId="0" applyFont="1" applyFill="1" applyBorder="1" applyAlignment="1" applyProtection="1">
      <alignment horizontal="left" wrapText="1"/>
      <protection locked="0"/>
    </xf>
    <xf numFmtId="0" fontId="17" fillId="2" borderId="10" xfId="0" applyFont="1" applyFill="1" applyBorder="1" applyAlignment="1" applyProtection="1">
      <alignment horizontal="center"/>
      <protection locked="0"/>
    </xf>
    <xf numFmtId="0" fontId="17" fillId="2" borderId="12" xfId="0" applyFont="1" applyFill="1" applyBorder="1" applyAlignment="1" applyProtection="1">
      <alignment horizontal="center"/>
      <protection locked="0"/>
    </xf>
    <xf numFmtId="165" fontId="17" fillId="2" borderId="10" xfId="0" applyNumberFormat="1" applyFont="1" applyFill="1" applyBorder="1" applyAlignment="1" applyProtection="1">
      <alignment horizontal="center"/>
      <protection locked="0"/>
    </xf>
    <xf numFmtId="165" fontId="17" fillId="2" borderId="12" xfId="0" applyNumberFormat="1" applyFont="1" applyFill="1" applyBorder="1" applyAlignment="1" applyProtection="1">
      <alignment horizontal="center"/>
      <protection locked="0"/>
    </xf>
    <xf numFmtId="165" fontId="17" fillId="2" borderId="8" xfId="0" applyNumberFormat="1" applyFont="1" applyFill="1" applyBorder="1" applyAlignment="1" applyProtection="1">
      <alignment horizontal="left"/>
      <protection locked="0"/>
    </xf>
    <xf numFmtId="164" fontId="17" fillId="2" borderId="8" xfId="0" applyNumberFormat="1" applyFont="1" applyFill="1" applyBorder="1" applyAlignment="1" applyProtection="1">
      <alignment horizontal="left"/>
      <protection locked="0"/>
    </xf>
    <xf numFmtId="0" fontId="14" fillId="3" borderId="0" xfId="0" applyFont="1" applyFill="1" applyAlignment="1">
      <alignment horizontal="center" vertical="center"/>
    </xf>
    <xf numFmtId="0" fontId="24" fillId="3" borderId="0" xfId="0" applyFont="1" applyFill="1" applyAlignment="1">
      <alignment horizontal="center" vertical="center"/>
    </xf>
    <xf numFmtId="0" fontId="24" fillId="3" borderId="16" xfId="0" applyFont="1" applyFill="1" applyBorder="1" applyAlignment="1">
      <alignment horizontal="center" vertical="center"/>
    </xf>
    <xf numFmtId="0" fontId="7" fillId="14" borderId="13" xfId="0" applyFont="1" applyFill="1" applyBorder="1" applyAlignment="1">
      <alignment horizontal="center" vertical="center" wrapText="1"/>
    </xf>
    <xf numFmtId="0" fontId="7" fillId="14" borderId="18" xfId="0" applyFont="1" applyFill="1" applyBorder="1" applyAlignment="1">
      <alignment horizontal="center" vertical="center" wrapText="1"/>
    </xf>
    <xf numFmtId="0" fontId="7" fillId="14" borderId="14" xfId="0" applyFont="1" applyFill="1" applyBorder="1" applyAlignment="1">
      <alignment horizontal="center" vertical="center" wrapText="1"/>
    </xf>
    <xf numFmtId="0" fontId="7" fillId="14" borderId="30" xfId="0" applyFont="1" applyFill="1" applyBorder="1" applyAlignment="1">
      <alignment horizontal="center" vertical="center" wrapText="1"/>
    </xf>
    <xf numFmtId="0" fontId="7" fillId="14" borderId="0" xfId="0" applyFont="1" applyFill="1" applyAlignment="1">
      <alignment horizontal="center" vertical="center" wrapText="1"/>
    </xf>
    <xf numFmtId="0" fontId="7" fillId="14" borderId="31" xfId="0" applyFont="1" applyFill="1" applyBorder="1" applyAlignment="1">
      <alignment horizontal="center" vertical="center" wrapText="1"/>
    </xf>
    <xf numFmtId="0" fontId="7" fillId="14" borderId="15" xfId="0" applyFont="1" applyFill="1" applyBorder="1" applyAlignment="1">
      <alignment horizontal="center" vertical="center" wrapText="1"/>
    </xf>
    <xf numFmtId="0" fontId="7" fillId="14" borderId="16" xfId="0" applyFont="1" applyFill="1" applyBorder="1" applyAlignment="1">
      <alignment horizontal="center" vertical="center" wrapText="1"/>
    </xf>
    <xf numFmtId="0" fontId="7" fillId="14" borderId="17" xfId="0" applyFont="1" applyFill="1" applyBorder="1" applyAlignment="1">
      <alignment horizontal="center" vertical="center" wrapText="1"/>
    </xf>
    <xf numFmtId="0" fontId="10" fillId="0" borderId="22" xfId="0" applyFont="1" applyBorder="1" applyAlignment="1">
      <alignment horizontal="right" vertical="center"/>
    </xf>
    <xf numFmtId="0" fontId="10" fillId="0" borderId="23" xfId="0" applyFont="1" applyBorder="1" applyAlignment="1">
      <alignment horizontal="right" vertical="center"/>
    </xf>
    <xf numFmtId="0" fontId="10" fillId="0" borderId="23" xfId="0" applyFont="1" applyBorder="1" applyAlignment="1">
      <alignment horizontal="left" vertical="center"/>
    </xf>
    <xf numFmtId="0" fontId="10" fillId="0" borderId="24" xfId="0" applyFont="1" applyBorder="1" applyAlignment="1">
      <alignment horizontal="left" vertical="center"/>
    </xf>
    <xf numFmtId="0" fontId="10" fillId="0" borderId="25" xfId="0" applyFont="1" applyBorder="1" applyAlignment="1">
      <alignment horizontal="right" vertical="center"/>
    </xf>
    <xf numFmtId="0" fontId="10" fillId="0" borderId="8" xfId="0" applyFont="1" applyBorder="1" applyAlignment="1">
      <alignment horizontal="right" vertical="center"/>
    </xf>
    <xf numFmtId="0" fontId="10" fillId="0" borderId="8" xfId="0" applyFont="1" applyBorder="1" applyAlignment="1">
      <alignment horizontal="left" vertical="center"/>
    </xf>
    <xf numFmtId="0" fontId="10" fillId="0" borderId="26" xfId="0" applyFont="1" applyBorder="1" applyAlignment="1">
      <alignment horizontal="left" vertical="center"/>
    </xf>
    <xf numFmtId="0" fontId="10" fillId="0" borderId="27" xfId="0" applyFont="1" applyBorder="1" applyAlignment="1">
      <alignment horizontal="right" vertical="center"/>
    </xf>
    <xf numFmtId="0" fontId="10" fillId="0" borderId="28" xfId="0" applyFont="1" applyBorder="1" applyAlignment="1">
      <alignment horizontal="right" vertical="center"/>
    </xf>
    <xf numFmtId="0" fontId="10" fillId="0" borderId="28" xfId="0" applyFont="1" applyBorder="1" applyAlignment="1">
      <alignment horizontal="left" vertical="center" wrapText="1"/>
    </xf>
    <xf numFmtId="0" fontId="10" fillId="0" borderId="29" xfId="0" applyFont="1" applyBorder="1" applyAlignment="1">
      <alignment horizontal="left" vertical="center" wrapText="1"/>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6" fillId="12" borderId="8" xfId="0" applyFont="1" applyFill="1" applyBorder="1" applyAlignment="1">
      <alignment horizontal="center"/>
    </xf>
    <xf numFmtId="0" fontId="20" fillId="12" borderId="8" xfId="0" applyFont="1" applyFill="1" applyBorder="1" applyAlignment="1">
      <alignment horizontal="center"/>
    </xf>
    <xf numFmtId="0" fontId="20" fillId="12" borderId="21" xfId="0" applyFont="1" applyFill="1" applyBorder="1" applyAlignment="1">
      <alignment horizontal="center"/>
    </xf>
    <xf numFmtId="0" fontId="5" fillId="0" borderId="10" xfId="0" applyFont="1" applyBorder="1" applyAlignment="1">
      <alignment horizontal="center"/>
    </xf>
    <xf numFmtId="0" fontId="5" fillId="0" borderId="11" xfId="0" applyFont="1" applyBorder="1" applyAlignment="1">
      <alignment horizontal="center"/>
    </xf>
    <xf numFmtId="0" fontId="5" fillId="0" borderId="12" xfId="0" applyFont="1" applyBorder="1" applyAlignment="1">
      <alignment horizontal="center"/>
    </xf>
    <xf numFmtId="0" fontId="0" fillId="0" borderId="0" xfId="0" applyAlignment="1">
      <alignment horizontal="center"/>
    </xf>
    <xf numFmtId="0" fontId="16" fillId="3" borderId="0" xfId="0" applyFont="1" applyFill="1" applyAlignment="1">
      <alignment horizontal="center" wrapText="1"/>
    </xf>
    <xf numFmtId="0" fontId="16" fillId="3" borderId="6" xfId="0" applyFont="1" applyFill="1" applyBorder="1" applyAlignment="1">
      <alignment horizontal="center" wrapText="1"/>
    </xf>
    <xf numFmtId="0" fontId="0" fillId="0" borderId="0" xfId="0" applyAlignment="1">
      <alignment horizontal="center" wrapText="1"/>
    </xf>
    <xf numFmtId="0" fontId="18" fillId="10" borderId="6" xfId="0" applyFont="1" applyFill="1" applyBorder="1" applyAlignment="1">
      <alignment horizontal="center"/>
    </xf>
    <xf numFmtId="0" fontId="16" fillId="3" borderId="1" xfId="0" applyFont="1" applyFill="1" applyBorder="1" applyAlignment="1">
      <alignment horizontal="center"/>
    </xf>
    <xf numFmtId="0" fontId="16" fillId="3" borderId="2" xfId="0" applyFont="1" applyFill="1" applyBorder="1" applyAlignment="1">
      <alignment horizontal="center"/>
    </xf>
    <xf numFmtId="0" fontId="16" fillId="3" borderId="3" xfId="0" applyFont="1" applyFill="1" applyBorder="1" applyAlignment="1">
      <alignment horizontal="center"/>
    </xf>
    <xf numFmtId="0" fontId="15" fillId="12" borderId="13" xfId="0" applyFont="1" applyFill="1" applyBorder="1" applyAlignment="1">
      <alignment horizontal="left" vertical="top" wrapText="1"/>
    </xf>
    <xf numFmtId="0" fontId="15" fillId="12" borderId="18" xfId="0" applyFont="1" applyFill="1" applyBorder="1" applyAlignment="1">
      <alignment horizontal="left" vertical="top" wrapText="1"/>
    </xf>
    <xf numFmtId="0" fontId="15" fillId="12" borderId="14" xfId="0" applyFont="1" applyFill="1" applyBorder="1" applyAlignment="1">
      <alignment horizontal="left" vertical="top" wrapText="1"/>
    </xf>
    <xf numFmtId="0" fontId="15" fillId="12" borderId="15" xfId="0" applyFont="1" applyFill="1" applyBorder="1" applyAlignment="1">
      <alignment horizontal="left" vertical="top" wrapText="1"/>
    </xf>
    <xf numFmtId="0" fontId="15" fillId="12" borderId="16" xfId="0" applyFont="1" applyFill="1" applyBorder="1" applyAlignment="1">
      <alignment horizontal="left" vertical="top" wrapText="1"/>
    </xf>
    <xf numFmtId="0" fontId="15" fillId="12" borderId="17" xfId="0" applyFont="1" applyFill="1" applyBorder="1" applyAlignment="1">
      <alignment horizontal="left" vertical="top" wrapText="1"/>
    </xf>
  </cellXfs>
  <cellStyles count="2">
    <cellStyle name="Normal" xfId="0" builtinId="0"/>
    <cellStyle name="Percent" xfId="1" builtinId="5"/>
  </cellStyles>
  <dxfs count="2">
    <dxf>
      <font>
        <color theme="1" tint="0.499984740745262"/>
      </font>
      <fill>
        <patternFill>
          <bgColor theme="1" tint="0.499984740745262"/>
        </patternFill>
      </fill>
    </dxf>
    <dxf>
      <font>
        <color theme="1" tint="0.499984740745262"/>
      </font>
      <fill>
        <patternFill>
          <bgColor theme="1" tint="0.499984740745262"/>
        </patternFill>
      </fill>
    </dxf>
  </dxfs>
  <tableStyles count="0" defaultTableStyle="TableStyleMedium2" defaultPivotStyle="PivotStyleLight16"/>
  <colors>
    <mruColors>
      <color rgb="FFF8696B"/>
      <color rgb="FF63BE7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hyperlink" Target="#'BPF Compare'!A1"/></Relationships>
</file>

<file path=xl/drawings/_rels/drawing3.xml.rels><?xml version="1.0" encoding="UTF-8" standalone="yes"?>
<Relationships xmlns="http://schemas.openxmlformats.org/package/2006/relationships"><Relationship Id="rId1" Type="http://schemas.openxmlformats.org/officeDocument/2006/relationships/hyperlink" Target="#'BPF Calculator'!A1"/></Relationships>
</file>

<file path=xl/drawings/drawing1.xml><?xml version="1.0" encoding="utf-8"?>
<xdr:wsDr xmlns:xdr="http://schemas.openxmlformats.org/drawingml/2006/spreadsheetDrawing" xmlns:a="http://schemas.openxmlformats.org/drawingml/2006/main">
  <xdr:twoCellAnchor>
    <xdr:from>
      <xdr:col>29</xdr:col>
      <xdr:colOff>92377</xdr:colOff>
      <xdr:row>27</xdr:row>
      <xdr:rowOff>99330</xdr:rowOff>
    </xdr:from>
    <xdr:to>
      <xdr:col>31</xdr:col>
      <xdr:colOff>311603</xdr:colOff>
      <xdr:row>33</xdr:row>
      <xdr:rowOff>92074</xdr:rowOff>
    </xdr:to>
    <xdr:sp macro="" textlink="">
      <xdr:nvSpPr>
        <xdr:cNvPr id="3" name="Arrow: Right 2">
          <a:hlinkClick xmlns:r="http://schemas.openxmlformats.org/officeDocument/2006/relationships" r:id="rId1"/>
          <a:extLst>
            <a:ext uri="{FF2B5EF4-FFF2-40B4-BE49-F238E27FC236}">
              <a16:creationId xmlns:a16="http://schemas.microsoft.com/office/drawing/2014/main" id="{19D070FD-6F6B-CBA4-3D50-D5EE0DF39EC4}"/>
            </a:ext>
          </a:extLst>
        </xdr:cNvPr>
        <xdr:cNvSpPr/>
      </xdr:nvSpPr>
      <xdr:spPr>
        <a:xfrm>
          <a:off x="12913027" y="7319280"/>
          <a:ext cx="1019326" cy="907144"/>
        </a:xfrm>
        <a:prstGeom prst="rightArrow">
          <a:avLst>
            <a:gd name="adj1" fmla="val 50000"/>
            <a:gd name="adj2" fmla="val 60833"/>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000" b="1">
              <a:latin typeface="Aptos Display" panose="020B0004020202020204" pitchFamily="34" charset="0"/>
            </a:rPr>
            <a:t>Goto</a:t>
          </a:r>
          <a:r>
            <a:rPr lang="en-US" sz="1000" b="1" baseline="0">
              <a:latin typeface="Aptos Display" panose="020B0004020202020204" pitchFamily="34" charset="0"/>
            </a:rPr>
            <a:t> BPF Compare</a:t>
          </a:r>
          <a:endParaRPr lang="en-US" sz="1000" b="1">
            <a:latin typeface="Aptos Display" panose="020B0004020202020204" pitchFamily="34" charset="0"/>
          </a:endParaRPr>
        </a:p>
      </xdr:txBody>
    </xdr:sp>
    <xdr:clientData fLocksWithSheet="0"/>
  </xdr:twoCellAnchor>
</xdr:wsDr>
</file>

<file path=xl/drawings/drawing2.xml><?xml version="1.0" encoding="utf-8"?>
<xdr:wsDr xmlns:xdr="http://schemas.openxmlformats.org/drawingml/2006/spreadsheetDrawing" xmlns:a="http://schemas.openxmlformats.org/drawingml/2006/main">
  <xdr:twoCellAnchor>
    <xdr:from>
      <xdr:col>0</xdr:col>
      <xdr:colOff>137887</xdr:colOff>
      <xdr:row>0</xdr:row>
      <xdr:rowOff>101601</xdr:rowOff>
    </xdr:from>
    <xdr:to>
      <xdr:col>8</xdr:col>
      <xdr:colOff>679450</xdr:colOff>
      <xdr:row>11</xdr:row>
      <xdr:rowOff>170543</xdr:rowOff>
    </xdr:to>
    <xdr:sp macro="" textlink="">
      <xdr:nvSpPr>
        <xdr:cNvPr id="2" name="TextBox 1">
          <a:extLst>
            <a:ext uri="{FF2B5EF4-FFF2-40B4-BE49-F238E27FC236}">
              <a16:creationId xmlns:a16="http://schemas.microsoft.com/office/drawing/2014/main" id="{6C42BD89-68A6-4C9C-8196-4A68F4A2F45F}"/>
            </a:ext>
          </a:extLst>
        </xdr:cNvPr>
        <xdr:cNvSpPr txBox="1"/>
      </xdr:nvSpPr>
      <xdr:spPr>
        <a:xfrm>
          <a:off x="137887" y="101601"/>
          <a:ext cx="6428013" cy="172629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000" u="sng">
              <a:solidFill>
                <a:schemeClr val="dk1"/>
              </a:solidFill>
              <a:effectLst/>
              <a:latin typeface="+mn-lt"/>
              <a:ea typeface="+mn-ea"/>
              <a:cs typeface="+mn-cs"/>
            </a:rPr>
            <a:t>BPF</a:t>
          </a:r>
          <a:r>
            <a:rPr lang="en-US" sz="1000" u="sng" baseline="-25000">
              <a:solidFill>
                <a:schemeClr val="dk1"/>
              </a:solidFill>
              <a:effectLst/>
              <a:latin typeface="+mn-lt"/>
              <a:ea typeface="+mn-ea"/>
              <a:cs typeface="+mn-cs"/>
            </a:rPr>
            <a:t>i,j</a:t>
          </a:r>
          <a:r>
            <a:rPr lang="en-US" sz="1000" u="sng">
              <a:solidFill>
                <a:schemeClr val="dk1"/>
              </a:solidFill>
              <a:effectLst/>
              <a:latin typeface="+mn-lt"/>
              <a:ea typeface="+mn-ea"/>
              <a:cs typeface="+mn-cs"/>
            </a:rPr>
            <a:t>=(EC+A</a:t>
          </a:r>
          <a:r>
            <a:rPr lang="en-US" sz="1000" u="sng" baseline="-25000">
              <a:solidFill>
                <a:schemeClr val="dk1"/>
              </a:solidFill>
              <a:effectLst/>
              <a:latin typeface="+mn-lt"/>
              <a:ea typeface="+mn-ea"/>
              <a:cs typeface="+mn-cs"/>
            </a:rPr>
            <a:t>i,j</a:t>
          </a:r>
          <a:r>
            <a:rPr lang="en-US" sz="1000" u="sng">
              <a:solidFill>
                <a:schemeClr val="dk1"/>
              </a:solidFill>
              <a:effectLst/>
              <a:latin typeface="+mn-lt"/>
              <a:ea typeface="+mn-ea"/>
              <a:cs typeface="+mn-cs"/>
            </a:rPr>
            <a:t> *GC)/(B</a:t>
          </a:r>
          <a:r>
            <a:rPr lang="en-US" sz="1000" u="sng" baseline="-25000">
              <a:solidFill>
                <a:schemeClr val="dk1"/>
              </a:solidFill>
              <a:effectLst/>
              <a:latin typeface="+mn-lt"/>
              <a:ea typeface="+mn-ea"/>
              <a:cs typeface="+mn-cs"/>
            </a:rPr>
            <a:t>i,j</a:t>
          </a:r>
          <a:r>
            <a:rPr lang="en-US" sz="1000" u="sng">
              <a:solidFill>
                <a:schemeClr val="dk1"/>
              </a:solidFill>
              <a:effectLst/>
              <a:latin typeface="+mn-lt"/>
              <a:ea typeface="+mn-ea"/>
              <a:cs typeface="+mn-cs"/>
            </a:rPr>
            <a:t> *EC+C</a:t>
          </a:r>
          <a:r>
            <a:rPr lang="en-US" sz="1000" u="sng" baseline="-25000">
              <a:solidFill>
                <a:schemeClr val="dk1"/>
              </a:solidFill>
              <a:effectLst/>
              <a:latin typeface="+mn-lt"/>
              <a:ea typeface="+mn-ea"/>
              <a:cs typeface="+mn-cs"/>
            </a:rPr>
            <a:t>i,j</a:t>
          </a:r>
          <a:r>
            <a:rPr lang="en-US" sz="1000" u="sng">
              <a:solidFill>
                <a:schemeClr val="dk1"/>
              </a:solidFill>
              <a:effectLst/>
              <a:latin typeface="+mn-lt"/>
              <a:ea typeface="+mn-ea"/>
              <a:cs typeface="+mn-cs"/>
            </a:rPr>
            <a:t> *GC)  			(Equation X-1)</a:t>
          </a:r>
          <a:endParaRPr lang="en-US" sz="1000">
            <a:solidFill>
              <a:schemeClr val="dk1"/>
            </a:solidFill>
            <a:effectLst/>
            <a:latin typeface="+mn-lt"/>
            <a:ea typeface="+mn-ea"/>
            <a:cs typeface="+mn-cs"/>
          </a:endParaRPr>
        </a:p>
        <a:p>
          <a:r>
            <a:rPr lang="en-US" sz="1000" u="sng">
              <a:solidFill>
                <a:schemeClr val="dk1"/>
              </a:solidFill>
              <a:effectLst/>
              <a:latin typeface="+mn-lt"/>
              <a:ea typeface="+mn-ea"/>
              <a:cs typeface="+mn-cs"/>
            </a:rPr>
            <a:t> </a:t>
          </a:r>
          <a:endParaRPr lang="en-US" sz="1000">
            <a:solidFill>
              <a:schemeClr val="dk1"/>
            </a:solidFill>
            <a:effectLst/>
            <a:latin typeface="+mn-lt"/>
            <a:ea typeface="+mn-ea"/>
            <a:cs typeface="+mn-cs"/>
          </a:endParaRPr>
        </a:p>
        <a:p>
          <a:r>
            <a:rPr lang="en-US" sz="1000" u="sng">
              <a:solidFill>
                <a:schemeClr val="dk1"/>
              </a:solidFill>
              <a:effectLst/>
              <a:latin typeface="+mn-lt"/>
              <a:ea typeface="+mn-ea"/>
              <a:cs typeface="+mn-cs"/>
            </a:rPr>
            <a:t>A</a:t>
          </a:r>
          <a:r>
            <a:rPr lang="en-US" sz="1000" u="sng" baseline="-25000">
              <a:solidFill>
                <a:schemeClr val="dk1"/>
              </a:solidFill>
              <a:effectLst/>
              <a:latin typeface="+mn-lt"/>
              <a:ea typeface="+mn-ea"/>
              <a:cs typeface="+mn-cs"/>
            </a:rPr>
            <a:t>i,j</a:t>
          </a:r>
          <a:r>
            <a:rPr lang="en-US" sz="1000" u="sng">
              <a:solidFill>
                <a:schemeClr val="dk1"/>
              </a:solidFill>
              <a:effectLst/>
              <a:latin typeface="+mn-lt"/>
              <a:ea typeface="+mn-ea"/>
              <a:cs typeface="+mn-cs"/>
            </a:rPr>
            <a:t>, B</a:t>
          </a:r>
          <a:r>
            <a:rPr lang="en-US" sz="1000" u="sng" baseline="-25000">
              <a:solidFill>
                <a:schemeClr val="dk1"/>
              </a:solidFill>
              <a:effectLst/>
              <a:latin typeface="+mn-lt"/>
              <a:ea typeface="+mn-ea"/>
              <a:cs typeface="+mn-cs"/>
            </a:rPr>
            <a:t>i,j</a:t>
          </a:r>
          <a:r>
            <a:rPr lang="en-US" sz="1000" u="sng">
              <a:solidFill>
                <a:schemeClr val="dk1"/>
              </a:solidFill>
              <a:effectLst/>
              <a:latin typeface="+mn-lt"/>
              <a:ea typeface="+mn-ea"/>
              <a:cs typeface="+mn-cs"/>
            </a:rPr>
            <a:t>, C</a:t>
          </a:r>
          <a:r>
            <a:rPr lang="en-US" sz="1000" u="sng" baseline="-25000">
              <a:solidFill>
                <a:schemeClr val="dk1"/>
              </a:solidFill>
              <a:effectLst/>
              <a:latin typeface="+mn-lt"/>
              <a:ea typeface="+mn-ea"/>
              <a:cs typeface="+mn-cs"/>
            </a:rPr>
            <a:t>i,j</a:t>
          </a:r>
          <a:r>
            <a:rPr lang="en-US" sz="1000" u="sng">
              <a:solidFill>
                <a:schemeClr val="dk1"/>
              </a:solidFill>
              <a:effectLst/>
              <a:latin typeface="+mn-lt"/>
              <a:ea typeface="+mn-ea"/>
              <a:cs typeface="+mn-cs"/>
            </a:rPr>
            <a:t> = coefficients from Tables X5-2, X5-3 and X5-4 for building area type i and climate zone j</a:t>
          </a:r>
          <a:endParaRPr lang="en-US" sz="1000">
            <a:solidFill>
              <a:schemeClr val="dk1"/>
            </a:solidFill>
            <a:effectLst/>
            <a:latin typeface="+mn-lt"/>
            <a:ea typeface="+mn-ea"/>
            <a:cs typeface="+mn-cs"/>
          </a:endParaRPr>
        </a:p>
        <a:p>
          <a:r>
            <a:rPr lang="en-US" sz="1000" u="sng">
              <a:solidFill>
                <a:schemeClr val="dk1"/>
              </a:solidFill>
              <a:effectLst/>
              <a:latin typeface="+mn-lt"/>
              <a:ea typeface="+mn-ea"/>
              <a:cs typeface="+mn-cs"/>
            </a:rPr>
            <a:t>EC = custom electricity conversion factor expressed using the units shown in Table X5-1 for the selected metric</a:t>
          </a:r>
          <a:endParaRPr lang="en-US" sz="1000">
            <a:solidFill>
              <a:schemeClr val="dk1"/>
            </a:solidFill>
            <a:effectLst/>
            <a:latin typeface="+mn-lt"/>
            <a:ea typeface="+mn-ea"/>
            <a:cs typeface="+mn-cs"/>
          </a:endParaRPr>
        </a:p>
        <a:p>
          <a:r>
            <a:rPr lang="en-US" sz="1000" u="sng">
              <a:solidFill>
                <a:schemeClr val="dk1"/>
              </a:solidFill>
              <a:effectLst/>
              <a:latin typeface="+mn-lt"/>
              <a:ea typeface="+mn-ea"/>
              <a:cs typeface="+mn-cs"/>
            </a:rPr>
            <a:t>GC = custom natural gas conversion factor expressed using the units shown in Table X5-1 for the selected metric</a:t>
          </a:r>
          <a:endParaRPr lang="en-US" sz="1000">
            <a:solidFill>
              <a:schemeClr val="dk1"/>
            </a:solidFill>
            <a:effectLst/>
            <a:latin typeface="+mn-lt"/>
            <a:ea typeface="+mn-ea"/>
            <a:cs typeface="+mn-cs"/>
          </a:endParaRPr>
        </a:p>
        <a:p>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120715</xdr:colOff>
      <xdr:row>1</xdr:row>
      <xdr:rowOff>70913</xdr:rowOff>
    </xdr:from>
    <xdr:to>
      <xdr:col>1</xdr:col>
      <xdr:colOff>739140</xdr:colOff>
      <xdr:row>2</xdr:row>
      <xdr:rowOff>228600</xdr:rowOff>
    </xdr:to>
    <xdr:sp macro="" textlink="">
      <xdr:nvSpPr>
        <xdr:cNvPr id="5" name="Arrow: Left 4">
          <a:hlinkClick xmlns:r="http://schemas.openxmlformats.org/officeDocument/2006/relationships" r:id="rId1"/>
          <a:extLst>
            <a:ext uri="{FF2B5EF4-FFF2-40B4-BE49-F238E27FC236}">
              <a16:creationId xmlns:a16="http://schemas.microsoft.com/office/drawing/2014/main" id="{045C6452-6BC7-D1BF-113A-62FE52687F71}"/>
            </a:ext>
          </a:extLst>
        </xdr:cNvPr>
        <xdr:cNvSpPr/>
      </xdr:nvSpPr>
      <xdr:spPr>
        <a:xfrm>
          <a:off x="120715" y="383333"/>
          <a:ext cx="1365185" cy="873967"/>
        </a:xfrm>
        <a:prstGeom prst="leftArrow">
          <a:avLst>
            <a:gd name="adj1" fmla="val 50000"/>
            <a:gd name="adj2" fmla="val 49000"/>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b="1">
              <a:latin typeface="Aptos Display" panose="020B0004020202020204" pitchFamily="34" charset="0"/>
            </a:rPr>
            <a:t>Go back</a:t>
          </a:r>
          <a:r>
            <a:rPr lang="en-US" sz="1100" b="1" baseline="0">
              <a:latin typeface="Aptos Display" panose="020B0004020202020204" pitchFamily="34" charset="0"/>
            </a:rPr>
            <a:t> to </a:t>
          </a:r>
        </a:p>
        <a:p>
          <a:pPr algn="l"/>
          <a:r>
            <a:rPr lang="en-US" sz="1100" b="1" baseline="0">
              <a:latin typeface="Aptos Display" panose="020B0004020202020204" pitchFamily="34" charset="0"/>
            </a:rPr>
            <a:t>BPF Calculator</a:t>
          </a:r>
          <a:endParaRPr lang="en-US" sz="1100" b="1">
            <a:latin typeface="Aptos Display" panose="020B0004020202020204" pitchFamily="34" charset="0"/>
          </a:endParaRPr>
        </a:p>
      </xdr:txBody>
    </xdr:sp>
    <xdr:clientData fLocksWithSheet="0"/>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9BE39F-DEF8-41CD-9BE1-BF340C845B00}">
  <sheetPr codeName="Sheet1">
    <outlinePr showOutlineSymbols="0"/>
  </sheetPr>
  <dimension ref="A1:AY112"/>
  <sheetViews>
    <sheetView showGridLines="0" showRowColHeaders="0" showZeros="0" tabSelected="1" showOutlineSymbols="0" zoomScale="70" zoomScaleNormal="70" workbookViewId="0">
      <selection activeCell="AG3" sqref="AG3"/>
    </sheetView>
  </sheetViews>
  <sheetFormatPr defaultColWidth="0" defaultRowHeight="14.5" zeroHeight="1" x14ac:dyDescent="0.35"/>
  <cols>
    <col min="1" max="1" width="4.1796875" customWidth="1"/>
    <col min="2" max="2" width="7.81640625" customWidth="1"/>
    <col min="3" max="3" width="5.7265625" customWidth="1"/>
    <col min="4" max="22" width="6.453125" customWidth="1"/>
    <col min="23" max="23" width="7.81640625" customWidth="1"/>
    <col min="24" max="24" width="5.26953125" customWidth="1"/>
    <col min="25" max="25" width="5.1796875" customWidth="1"/>
    <col min="26" max="26" width="9" customWidth="1"/>
    <col min="27" max="27" width="6.453125" customWidth="1"/>
    <col min="28" max="29" width="6.1796875" customWidth="1"/>
    <col min="30" max="30" width="6.453125" customWidth="1"/>
    <col min="31" max="34" width="6" customWidth="1"/>
    <col min="35" max="39" width="6" hidden="1" customWidth="1"/>
    <col min="40" max="45" width="6.453125" hidden="1" customWidth="1"/>
    <col min="46" max="46" width="6" hidden="1" customWidth="1"/>
    <col min="47" max="51" width="0" hidden="1" customWidth="1"/>
    <col min="52" max="16384" width="9.1796875" hidden="1"/>
  </cols>
  <sheetData>
    <row r="1" spans="1:40" ht="18" customHeight="1" x14ac:dyDescent="0.35"/>
    <row r="2" spans="1:40" s="9" customFormat="1" ht="30" customHeight="1" x14ac:dyDescent="0.35">
      <c r="B2" s="181" t="s">
        <v>105</v>
      </c>
      <c r="AE2"/>
      <c r="AF2"/>
      <c r="AG2"/>
      <c r="AH2"/>
      <c r="AI2"/>
      <c r="AJ2"/>
      <c r="AK2"/>
      <c r="AL2"/>
      <c r="AM2"/>
    </row>
    <row r="3" spans="1:40" s="9" customFormat="1" ht="123" customHeight="1" x14ac:dyDescent="0.35">
      <c r="B3" s="189" t="s">
        <v>115</v>
      </c>
      <c r="C3" s="190"/>
      <c r="D3" s="190"/>
      <c r="E3" s="190"/>
      <c r="F3" s="190"/>
      <c r="G3" s="190"/>
      <c r="H3" s="190"/>
      <c r="I3" s="190"/>
      <c r="J3" s="190"/>
      <c r="K3" s="190"/>
      <c r="L3" s="190"/>
      <c r="M3" s="190"/>
      <c r="N3" s="190"/>
      <c r="O3" s="190"/>
      <c r="P3" s="190"/>
      <c r="Q3" s="190"/>
      <c r="R3" s="190"/>
      <c r="S3" s="190"/>
      <c r="T3" s="190"/>
      <c r="U3" s="190"/>
      <c r="V3" s="190"/>
      <c r="W3" s="190"/>
      <c r="X3" s="190"/>
      <c r="Y3" s="190"/>
      <c r="Z3" s="190"/>
      <c r="AA3" s="190"/>
      <c r="AB3" s="190"/>
      <c r="AC3" s="190"/>
      <c r="AE3"/>
      <c r="AF3"/>
      <c r="AG3"/>
      <c r="AH3"/>
      <c r="AI3"/>
      <c r="AJ3"/>
      <c r="AK3"/>
      <c r="AL3"/>
      <c r="AM3"/>
    </row>
    <row r="4" spans="1:40" s="9" customFormat="1" ht="8.15" customHeight="1" x14ac:dyDescent="0.35">
      <c r="B4" s="180"/>
      <c r="C4" s="95"/>
      <c r="D4" s="95"/>
      <c r="E4" s="95"/>
      <c r="F4" s="95"/>
      <c r="G4" s="95"/>
      <c r="H4" s="95"/>
      <c r="I4" s="95"/>
      <c r="J4" s="95"/>
      <c r="K4" s="95"/>
      <c r="L4" s="95"/>
      <c r="M4" s="95"/>
      <c r="N4" s="95"/>
      <c r="O4" s="95"/>
      <c r="P4" s="95"/>
      <c r="Q4" s="95"/>
      <c r="R4" s="95"/>
      <c r="S4" s="95"/>
      <c r="T4" s="95"/>
      <c r="U4" s="95"/>
      <c r="V4" s="95"/>
      <c r="W4" s="95"/>
      <c r="X4" s="95"/>
      <c r="Y4" s="95"/>
      <c r="Z4" s="95"/>
      <c r="AA4" s="95"/>
      <c r="AB4" s="95"/>
      <c r="AC4" s="95"/>
      <c r="AE4"/>
      <c r="AF4"/>
      <c r="AG4"/>
      <c r="AH4"/>
      <c r="AI4"/>
      <c r="AJ4"/>
      <c r="AK4"/>
      <c r="AL4"/>
      <c r="AM4"/>
    </row>
    <row r="5" spans="1:40" s="9" customFormat="1" ht="60" customHeight="1" x14ac:dyDescent="0.35">
      <c r="B5" s="191" t="s">
        <v>116</v>
      </c>
      <c r="C5" s="192"/>
      <c r="D5" s="192"/>
      <c r="E5" s="192"/>
      <c r="F5" s="192"/>
      <c r="G5" s="192"/>
      <c r="H5" s="192"/>
      <c r="I5" s="192"/>
      <c r="J5" s="192"/>
      <c r="K5" s="192"/>
      <c r="L5" s="192"/>
      <c r="M5" s="192"/>
      <c r="N5" s="192"/>
      <c r="O5" s="192"/>
      <c r="P5" s="192"/>
      <c r="Q5" s="192"/>
      <c r="R5" s="192"/>
      <c r="S5" s="192"/>
      <c r="T5" s="192"/>
      <c r="U5" s="192"/>
      <c r="V5" s="192"/>
      <c r="W5" s="192"/>
      <c r="X5" s="192"/>
      <c r="Y5" s="192"/>
      <c r="Z5" s="192"/>
      <c r="AA5" s="192"/>
      <c r="AB5" s="192"/>
      <c r="AC5" s="192"/>
    </row>
    <row r="6" spans="1:40" s="9" customFormat="1" ht="8.15" customHeight="1" x14ac:dyDescent="0.35">
      <c r="B6" s="191"/>
      <c r="C6" s="191"/>
      <c r="D6" s="191"/>
      <c r="E6" s="191"/>
      <c r="F6" s="191"/>
      <c r="G6" s="191"/>
      <c r="H6" s="191"/>
      <c r="I6" s="191"/>
      <c r="J6" s="191"/>
      <c r="K6" s="191"/>
      <c r="L6" s="191"/>
      <c r="M6" s="191"/>
      <c r="N6" s="191"/>
      <c r="O6" s="191"/>
      <c r="P6" s="191"/>
      <c r="Q6" s="191"/>
      <c r="R6" s="191"/>
      <c r="S6" s="191"/>
      <c r="T6" s="191"/>
      <c r="U6" s="191"/>
      <c r="V6" s="191"/>
      <c r="W6" s="191"/>
      <c r="X6" s="191"/>
      <c r="Y6" s="191"/>
      <c r="Z6" s="191"/>
      <c r="AA6" s="191"/>
      <c r="AB6" s="191"/>
      <c r="AC6" s="191"/>
    </row>
    <row r="7" spans="1:40" s="9" customFormat="1" ht="30" customHeight="1" x14ac:dyDescent="0.35">
      <c r="A7" s="94" t="s">
        <v>0</v>
      </c>
      <c r="B7" s="191" t="s">
        <v>107</v>
      </c>
      <c r="C7" s="191"/>
      <c r="D7" s="191"/>
      <c r="E7" s="191"/>
      <c r="F7" s="191"/>
      <c r="G7" s="191"/>
      <c r="H7" s="191"/>
      <c r="I7" s="191"/>
      <c r="J7" s="191"/>
      <c r="K7" s="191"/>
      <c r="L7" s="191"/>
      <c r="M7" s="191"/>
      <c r="N7" s="191"/>
      <c r="O7" s="191"/>
      <c r="P7" s="191"/>
      <c r="Q7" s="191"/>
      <c r="R7" s="191"/>
      <c r="S7" s="191"/>
      <c r="T7" s="191"/>
      <c r="U7" s="191"/>
      <c r="V7" s="191"/>
      <c r="W7" s="191"/>
      <c r="X7" s="191"/>
      <c r="Y7" s="191"/>
      <c r="Z7" s="191"/>
      <c r="AA7" s="191"/>
      <c r="AB7" s="191"/>
      <c r="AC7" s="191"/>
    </row>
    <row r="8" spans="1:40" s="9" customFormat="1" ht="15" customHeight="1" x14ac:dyDescent="0.35">
      <c r="B8" s="19"/>
      <c r="C8" s="19"/>
      <c r="D8" s="19"/>
      <c r="E8" s="19"/>
      <c r="F8" s="19"/>
      <c r="G8" s="19"/>
      <c r="H8" s="19"/>
      <c r="I8" s="19"/>
      <c r="J8" s="19"/>
      <c r="K8" s="19"/>
      <c r="L8" s="19"/>
      <c r="M8" s="19"/>
      <c r="N8" s="19"/>
      <c r="O8" s="19"/>
      <c r="P8" s="19"/>
      <c r="Q8" s="19"/>
      <c r="R8" s="19"/>
      <c r="S8" s="19"/>
      <c r="T8" s="19"/>
      <c r="U8" s="19"/>
      <c r="V8" s="19"/>
      <c r="W8" s="19"/>
      <c r="X8" s="19"/>
      <c r="Y8" s="19"/>
      <c r="Z8" s="19"/>
      <c r="AA8" s="19"/>
      <c r="AB8" s="19"/>
      <c r="AC8" s="19"/>
    </row>
    <row r="9" spans="1:40" s="86" customFormat="1" ht="25.5" customHeight="1" x14ac:dyDescent="0.35">
      <c r="B9" s="193" t="s">
        <v>1</v>
      </c>
      <c r="C9" s="194"/>
      <c r="D9" s="193" t="s">
        <v>7</v>
      </c>
      <c r="E9" s="194"/>
      <c r="F9" s="75"/>
      <c r="G9" s="75"/>
      <c r="H9" s="76"/>
      <c r="I9" s="77" t="s">
        <v>2</v>
      </c>
      <c r="J9" s="195" t="s">
        <v>3</v>
      </c>
      <c r="K9" s="196"/>
      <c r="L9" s="196"/>
      <c r="M9" s="196"/>
      <c r="N9" s="196"/>
      <c r="O9" s="196"/>
      <c r="P9" s="76"/>
      <c r="Q9" s="76"/>
      <c r="R9" s="76"/>
      <c r="S9" s="76"/>
      <c r="T9" s="76"/>
      <c r="U9" s="76"/>
      <c r="V9" s="76"/>
      <c r="W9" s="76"/>
      <c r="X9" s="76"/>
      <c r="Y9" s="78"/>
      <c r="Z9" s="93"/>
      <c r="AA9" s="122"/>
      <c r="AB9"/>
      <c r="AC9"/>
      <c r="AD9"/>
      <c r="AE9"/>
      <c r="AF9"/>
      <c r="AG9"/>
      <c r="AH9"/>
      <c r="AI9"/>
      <c r="AJ9"/>
      <c r="AK9"/>
      <c r="AL9"/>
      <c r="AM9"/>
      <c r="AN9"/>
    </row>
    <row r="10" spans="1:40" s="86" customFormat="1" ht="15" customHeight="1" x14ac:dyDescent="0.35">
      <c r="B10" s="79"/>
      <c r="C10" s="80" t="s">
        <v>5</v>
      </c>
      <c r="D10" s="81"/>
      <c r="E10" s="81"/>
      <c r="F10" s="82"/>
      <c r="G10" s="82"/>
      <c r="H10" s="82"/>
      <c r="I10" s="82"/>
      <c r="J10" s="82"/>
      <c r="K10" s="82"/>
      <c r="L10" s="81"/>
      <c r="M10" s="82"/>
      <c r="N10" s="83"/>
      <c r="O10" s="79"/>
      <c r="P10" s="84" t="s">
        <v>6</v>
      </c>
      <c r="Q10" s="82"/>
      <c r="R10" s="82"/>
      <c r="S10" s="82"/>
      <c r="T10" s="82"/>
      <c r="U10" s="82"/>
      <c r="V10" s="82"/>
      <c r="W10" s="82"/>
      <c r="X10" s="82"/>
      <c r="Y10" s="83"/>
      <c r="Z10" s="93"/>
      <c r="AA10" s="93"/>
      <c r="AB10"/>
      <c r="AC10"/>
      <c r="AD10"/>
      <c r="AE10"/>
      <c r="AF10"/>
      <c r="AG10"/>
      <c r="AH10"/>
      <c r="AI10"/>
      <c r="AJ10"/>
      <c r="AK10"/>
      <c r="AL10"/>
      <c r="AM10"/>
      <c r="AN10"/>
    </row>
    <row r="11" spans="1:40" s="86" customFormat="1" ht="15" customHeight="1" x14ac:dyDescent="0.35">
      <c r="B11" s="85"/>
      <c r="C11" s="13" t="s">
        <v>8</v>
      </c>
      <c r="D11" s="202">
        <v>0.11219999999999999</v>
      </c>
      <c r="E11" s="202"/>
      <c r="F11" s="86" t="s">
        <v>9</v>
      </c>
      <c r="J11" s="87">
        <f>ElecCost/3.412</f>
        <v>3.2883939038686985E-2</v>
      </c>
      <c r="K11" s="86" t="s">
        <v>10</v>
      </c>
      <c r="N11" s="88"/>
      <c r="O11" s="85"/>
      <c r="P11" s="13" t="s">
        <v>8</v>
      </c>
      <c r="Q11" s="199">
        <v>0.83799999999999997</v>
      </c>
      <c r="R11" s="200"/>
      <c r="S11" s="86" t="s">
        <v>11</v>
      </c>
      <c r="V11" s="86">
        <f>Q11/100</f>
        <v>8.3800000000000003E-3</v>
      </c>
      <c r="W11" s="86" t="s">
        <v>12</v>
      </c>
      <c r="Y11" s="88"/>
      <c r="AB11"/>
      <c r="AC11"/>
      <c r="AD11"/>
      <c r="AE11"/>
      <c r="AF11"/>
      <c r="AG11"/>
      <c r="AH11"/>
      <c r="AI11"/>
      <c r="AJ11"/>
      <c r="AK11"/>
      <c r="AL11"/>
      <c r="AM11"/>
      <c r="AN11"/>
    </row>
    <row r="12" spans="1:40" s="86" customFormat="1" ht="15" customHeight="1" x14ac:dyDescent="0.35">
      <c r="B12" s="85"/>
      <c r="C12" s="13" t="s">
        <v>108</v>
      </c>
      <c r="D12" s="201">
        <v>0.47089999999999999</v>
      </c>
      <c r="E12" s="201"/>
      <c r="F12" s="86" t="s">
        <v>13</v>
      </c>
      <c r="J12" s="87">
        <f>ElecCarbon/3.412</f>
        <v>0.1380128956623681</v>
      </c>
      <c r="K12" s="86" t="s">
        <v>14</v>
      </c>
      <c r="N12" s="88"/>
      <c r="O12" s="85"/>
      <c r="P12" s="13" t="s">
        <v>108</v>
      </c>
      <c r="Q12" s="197">
        <v>14.7</v>
      </c>
      <c r="R12" s="198"/>
      <c r="S12" s="86" t="s">
        <v>15</v>
      </c>
      <c r="V12" s="86">
        <f>Q12/100</f>
        <v>0.14699999999999999</v>
      </c>
      <c r="W12" s="86" t="s">
        <v>16</v>
      </c>
      <c r="Y12" s="88"/>
      <c r="AB12"/>
      <c r="AC12"/>
      <c r="AD12"/>
      <c r="AE12"/>
      <c r="AF12"/>
      <c r="AG12"/>
      <c r="AH12"/>
      <c r="AI12"/>
      <c r="AJ12"/>
      <c r="AK12"/>
      <c r="AL12"/>
      <c r="AM12"/>
      <c r="AN12"/>
    </row>
    <row r="13" spans="1:40" s="86" customFormat="1" ht="15" customHeight="1" x14ac:dyDescent="0.35">
      <c r="B13" s="89"/>
      <c r="C13" s="17" t="s">
        <v>17</v>
      </c>
      <c r="D13" s="201">
        <v>8.27</v>
      </c>
      <c r="E13" s="201"/>
      <c r="F13" s="90" t="s">
        <v>18</v>
      </c>
      <c r="G13" s="90"/>
      <c r="H13" s="90"/>
      <c r="I13" s="90"/>
      <c r="J13" s="91">
        <f>elecsource/3.412</f>
        <v>2.4237983587338805</v>
      </c>
      <c r="K13" s="90" t="s">
        <v>19</v>
      </c>
      <c r="L13" s="90"/>
      <c r="M13" s="90"/>
      <c r="N13" s="92"/>
      <c r="O13" s="89"/>
      <c r="P13" s="17" t="s">
        <v>17</v>
      </c>
      <c r="Q13" s="197">
        <v>123</v>
      </c>
      <c r="R13" s="198"/>
      <c r="S13" s="90" t="s">
        <v>99</v>
      </c>
      <c r="T13" s="90"/>
      <c r="U13" s="90"/>
      <c r="V13" s="90">
        <f>Q13/100</f>
        <v>1.23</v>
      </c>
      <c r="W13" s="90" t="s">
        <v>21</v>
      </c>
      <c r="X13" s="90"/>
      <c r="Y13" s="92"/>
      <c r="AB13"/>
      <c r="AC13"/>
      <c r="AD13"/>
      <c r="AE13"/>
      <c r="AF13"/>
      <c r="AG13"/>
      <c r="AH13" s="123"/>
      <c r="AI13" s="123"/>
      <c r="AJ13" s="123"/>
      <c r="AK13" s="123"/>
      <c r="AL13" s="123"/>
    </row>
    <row r="14" spans="1:40" x14ac:dyDescent="0.35">
      <c r="E14" s="1"/>
      <c r="F14" s="6"/>
      <c r="G14" s="6"/>
      <c r="L14" s="3"/>
      <c r="R14" s="1"/>
      <c r="S14" s="7"/>
      <c r="T14" s="7"/>
    </row>
    <row r="15" spans="1:40" s="94" customFormat="1" ht="17.25" customHeight="1" x14ac:dyDescent="0.35">
      <c r="B15" s="108"/>
      <c r="C15" s="109" t="str">
        <f>Calculator!W14</f>
        <v>BPF_Cost</v>
      </c>
      <c r="D15" s="109"/>
      <c r="E15" s="109"/>
      <c r="F15" s="109"/>
      <c r="G15" s="109"/>
      <c r="H15" s="109"/>
      <c r="I15" s="109"/>
      <c r="J15" s="109"/>
      <c r="K15" s="109"/>
      <c r="L15" s="109"/>
      <c r="M15" s="109"/>
      <c r="N15" s="109"/>
      <c r="O15" s="109"/>
      <c r="P15" s="109"/>
      <c r="Q15" s="109"/>
      <c r="R15" s="109"/>
      <c r="S15" s="109"/>
      <c r="T15" s="109"/>
      <c r="U15" s="109"/>
      <c r="V15" s="110"/>
      <c r="Z15" s="203" t="s">
        <v>106</v>
      </c>
      <c r="AA15" s="204"/>
      <c r="AB15" s="204"/>
      <c r="AC15" s="204"/>
      <c r="AD15" s="204"/>
      <c r="AE15" s="204"/>
    </row>
    <row r="16" spans="1:40" s="94" customFormat="1" ht="16.5" customHeight="1" thickBot="1" x14ac:dyDescent="0.4">
      <c r="B16" s="114"/>
      <c r="C16" s="115" t="str">
        <f>Calculator!W15</f>
        <v>Group</v>
      </c>
      <c r="D16" s="116" t="str">
        <f>Calculator!X15</f>
        <v>0A</v>
      </c>
      <c r="E16" s="116" t="str">
        <f>Calculator!Y15</f>
        <v>0B</v>
      </c>
      <c r="F16" s="116" t="str">
        <f>Calculator!Z15</f>
        <v>1A</v>
      </c>
      <c r="G16" s="116" t="str">
        <f>Calculator!AA15</f>
        <v>1B</v>
      </c>
      <c r="H16" s="116" t="str">
        <f>Calculator!AB15</f>
        <v>2A</v>
      </c>
      <c r="I16" s="116" t="str">
        <f>Calculator!AC15</f>
        <v>2B</v>
      </c>
      <c r="J16" s="116" t="str">
        <f>Calculator!AD15</f>
        <v>3A</v>
      </c>
      <c r="K16" s="116" t="str">
        <f>Calculator!AE15</f>
        <v>3B</v>
      </c>
      <c r="L16" s="116" t="str">
        <f>Calculator!AF15</f>
        <v>3C</v>
      </c>
      <c r="M16" s="116" t="str">
        <f>Calculator!AG15</f>
        <v>4A</v>
      </c>
      <c r="N16" s="116" t="str">
        <f>Calculator!AH15</f>
        <v>4B</v>
      </c>
      <c r="O16" s="116" t="str">
        <f>Calculator!AI15</f>
        <v>4C</v>
      </c>
      <c r="P16" s="116" t="str">
        <f>Calculator!AJ15</f>
        <v>5A</v>
      </c>
      <c r="Q16" s="116" t="str">
        <f>Calculator!AK15</f>
        <v>5B</v>
      </c>
      <c r="R16" s="116" t="str">
        <f>Calculator!AL15</f>
        <v>5C</v>
      </c>
      <c r="S16" s="116" t="str">
        <f>Calculator!AM15</f>
        <v>6A</v>
      </c>
      <c r="T16" s="116" t="str">
        <f>Calculator!AN15</f>
        <v>6B</v>
      </c>
      <c r="U16" s="116" t="str">
        <f>Calculator!AO15</f>
        <v>7</v>
      </c>
      <c r="V16" s="117" t="str">
        <f>Calculator!AP15</f>
        <v>8</v>
      </c>
      <c r="Z16" s="205"/>
      <c r="AA16" s="205"/>
      <c r="AB16" s="205"/>
      <c r="AC16" s="205"/>
      <c r="AD16" s="205"/>
      <c r="AE16" s="205"/>
    </row>
    <row r="17" spans="2:35" s="9" customFormat="1" ht="12" customHeight="1" x14ac:dyDescent="0.35">
      <c r="B17" s="12"/>
      <c r="C17" s="13" t="str">
        <f>Calculator!W16</f>
        <v>Apartment</v>
      </c>
      <c r="D17" s="21">
        <f ca="1">Calculator!X16</f>
        <v>0.60830016002416709</v>
      </c>
      <c r="E17" s="21">
        <f ca="1">Calculator!Y16</f>
        <v>0.56743040245813814</v>
      </c>
      <c r="F17" s="21">
        <f ca="1">Calculator!Z16</f>
        <v>0.59831722672347687</v>
      </c>
      <c r="G17" s="21">
        <f ca="1">Calculator!AA16</f>
        <v>0.573924670398127</v>
      </c>
      <c r="H17" s="21">
        <f ca="1">Calculator!AB16</f>
        <v>0.59221069746997435</v>
      </c>
      <c r="I17" s="21">
        <f ca="1">Calculator!AC16</f>
        <v>0.56924312287671852</v>
      </c>
      <c r="J17" s="21">
        <f ca="1">Calculator!AD16</f>
        <v>0.57886038270412266</v>
      </c>
      <c r="K17" s="21">
        <f ca="1">Calculator!AE16</f>
        <v>0.57884883542574783</v>
      </c>
      <c r="L17" s="21">
        <f ca="1">Calculator!AF16</f>
        <v>0.46088030831234594</v>
      </c>
      <c r="M17" s="21">
        <f ca="1">Calculator!AG16</f>
        <v>0.55311411982578962</v>
      </c>
      <c r="N17" s="21">
        <f ca="1">Calculator!AH16</f>
        <v>0.57347790719826197</v>
      </c>
      <c r="O17" s="21">
        <f ca="1">Calculator!AI16</f>
        <v>0.55350157548531187</v>
      </c>
      <c r="P17" s="21">
        <f ca="1">Calculator!AJ16</f>
        <v>0.54236124802197649</v>
      </c>
      <c r="Q17" s="21">
        <f ca="1">Calculator!AK16</f>
        <v>0.5586035472202644</v>
      </c>
      <c r="R17" s="21">
        <f ca="1">Calculator!AL16</f>
        <v>0.56821668981421103</v>
      </c>
      <c r="S17" s="21">
        <f ca="1">Calculator!AM16</f>
        <v>0.52650580518842893</v>
      </c>
      <c r="T17" s="21">
        <f ca="1">Calculator!AN16</f>
        <v>0.53478514579252545</v>
      </c>
      <c r="U17" s="21">
        <f ca="1">Calculator!AO16</f>
        <v>0.53814315857320216</v>
      </c>
      <c r="V17" s="22">
        <f ca="1">Calculator!AP16</f>
        <v>0.59497086413699274</v>
      </c>
      <c r="Z17" s="215" t="s">
        <v>84</v>
      </c>
      <c r="AA17" s="216"/>
      <c r="AB17" s="182">
        <v>0.11219999999999999</v>
      </c>
      <c r="AC17" s="217" t="s">
        <v>9</v>
      </c>
      <c r="AD17" s="217"/>
      <c r="AE17" s="218"/>
    </row>
    <row r="18" spans="2:35" s="9" customFormat="1" ht="12" customHeight="1" x14ac:dyDescent="0.35">
      <c r="B18" s="14"/>
      <c r="C18" s="15" t="str">
        <f>Calculator!W17</f>
        <v>Medical</v>
      </c>
      <c r="D18" s="23">
        <f ca="1">Calculator!X17</f>
        <v>0.59822892200818556</v>
      </c>
      <c r="E18" s="23">
        <f ca="1">Calculator!Y17</f>
        <v>0.58599295622312231</v>
      </c>
      <c r="F18" s="23">
        <f ca="1">Calculator!Z17</f>
        <v>0.5881104627720416</v>
      </c>
      <c r="G18" s="23">
        <f ca="1">Calculator!AA17</f>
        <v>0.59528133420890095</v>
      </c>
      <c r="H18" s="23">
        <f ca="1">Calculator!AB17</f>
        <v>0.59942767949357778</v>
      </c>
      <c r="I18" s="23">
        <f ca="1">Calculator!AC17</f>
        <v>0.59739762132738494</v>
      </c>
      <c r="J18" s="23">
        <f ca="1">Calculator!AD17</f>
        <v>0.58155713559274991</v>
      </c>
      <c r="K18" s="23">
        <f ca="1">Calculator!AE17</f>
        <v>0.58667100608020895</v>
      </c>
      <c r="L18" s="23">
        <f ca="1">Calculator!AF17</f>
        <v>0.5556926615289306</v>
      </c>
      <c r="M18" s="23">
        <f ca="1">Calculator!AG17</f>
        <v>0.55992946164938184</v>
      </c>
      <c r="N18" s="23">
        <f ca="1">Calculator!AH17</f>
        <v>0.57467791079490771</v>
      </c>
      <c r="O18" s="23">
        <f ca="1">Calculator!AI17</f>
        <v>0.57714756536738221</v>
      </c>
      <c r="P18" s="23">
        <f ca="1">Calculator!AJ17</f>
        <v>0.57962457303433745</v>
      </c>
      <c r="Q18" s="23">
        <f ca="1">Calculator!AK17</f>
        <v>0.56699520845680573</v>
      </c>
      <c r="R18" s="23">
        <f ca="1">Calculator!AL17</f>
        <v>0.53344112086671602</v>
      </c>
      <c r="S18" s="23">
        <f ca="1">Calculator!AM17</f>
        <v>0.57192182006485381</v>
      </c>
      <c r="T18" s="23">
        <f ca="1">Calculator!AN17</f>
        <v>0.54622756493830915</v>
      </c>
      <c r="U18" s="23">
        <f ca="1">Calculator!AO17</f>
        <v>0.55321311387298311</v>
      </c>
      <c r="V18" s="24">
        <f ca="1">Calculator!AP17</f>
        <v>0.57092081078405277</v>
      </c>
      <c r="Z18" s="219" t="s">
        <v>109</v>
      </c>
      <c r="AA18" s="220"/>
      <c r="AB18" s="183">
        <v>0.47099999999999997</v>
      </c>
      <c r="AC18" s="221" t="s">
        <v>13</v>
      </c>
      <c r="AD18" s="221"/>
      <c r="AE18" s="222"/>
    </row>
    <row r="19" spans="2:35" s="9" customFormat="1" ht="12" customHeight="1" thickBot="1" x14ac:dyDescent="0.4">
      <c r="B19" s="12"/>
      <c r="C19" s="13" t="str">
        <f>Calculator!W18</f>
        <v>Hotel</v>
      </c>
      <c r="D19" s="21">
        <f ca="1">Calculator!X18</f>
        <v>0.58032814831730439</v>
      </c>
      <c r="E19" s="21">
        <f ca="1">Calculator!Y18</f>
        <v>0.56469455059646168</v>
      </c>
      <c r="F19" s="21">
        <f ca="1">Calculator!Z18</f>
        <v>0.57489433172072335</v>
      </c>
      <c r="G19" s="21">
        <f ca="1">Calculator!AA18</f>
        <v>0.55829508806579542</v>
      </c>
      <c r="H19" s="21">
        <f ca="1">Calculator!AB18</f>
        <v>0.55422548325877885</v>
      </c>
      <c r="I19" s="21">
        <f ca="1">Calculator!AC18</f>
        <v>0.53513459718918321</v>
      </c>
      <c r="J19" s="21">
        <f ca="1">Calculator!AD18</f>
        <v>0.53912200037187186</v>
      </c>
      <c r="K19" s="21">
        <f ca="1">Calculator!AE18</f>
        <v>0.54386454681530627</v>
      </c>
      <c r="L19" s="21">
        <f ca="1">Calculator!AF18</f>
        <v>0.52639526765727407</v>
      </c>
      <c r="M19" s="21">
        <f ca="1">Calculator!AG18</f>
        <v>0.53094083454544039</v>
      </c>
      <c r="N19" s="21">
        <f ca="1">Calculator!AH18</f>
        <v>0.52942341650742264</v>
      </c>
      <c r="O19" s="21">
        <f ca="1">Calculator!AI18</f>
        <v>0.52224739102144047</v>
      </c>
      <c r="P19" s="21">
        <f ca="1">Calculator!AJ18</f>
        <v>0.52722063423479482</v>
      </c>
      <c r="Q19" s="21">
        <f ca="1">Calculator!AK18</f>
        <v>0.52795180229055405</v>
      </c>
      <c r="R19" s="21">
        <f ca="1">Calculator!AL18</f>
        <v>0.52845054499256583</v>
      </c>
      <c r="S19" s="21">
        <f ca="1">Calculator!AM18</f>
        <v>0.52500392075109281</v>
      </c>
      <c r="T19" s="21">
        <f ca="1">Calculator!AN18</f>
        <v>0.5294713458413467</v>
      </c>
      <c r="U19" s="21">
        <f ca="1">Calculator!AO18</f>
        <v>0.52419947363771902</v>
      </c>
      <c r="V19" s="22">
        <f ca="1">Calculator!AP18</f>
        <v>0.52732167549494313</v>
      </c>
      <c r="Z19" s="223" t="s">
        <v>90</v>
      </c>
      <c r="AA19" s="224"/>
      <c r="AB19" s="184">
        <v>8.27</v>
      </c>
      <c r="AC19" s="225" t="s">
        <v>100</v>
      </c>
      <c r="AD19" s="225"/>
      <c r="AE19" s="226"/>
    </row>
    <row r="20" spans="2:35" s="9" customFormat="1" ht="12" customHeight="1" x14ac:dyDescent="0.35">
      <c r="B20" s="14"/>
      <c r="C20" s="15" t="str">
        <f>Calculator!W19</f>
        <v>Office</v>
      </c>
      <c r="D20" s="23">
        <f ca="1">Calculator!X19</f>
        <v>0.42809668008915525</v>
      </c>
      <c r="E20" s="23">
        <f ca="1">Calculator!Y19</f>
        <v>0.41775894685786108</v>
      </c>
      <c r="F20" s="23">
        <f ca="1">Calculator!Z19</f>
        <v>0.40318724517391441</v>
      </c>
      <c r="G20" s="23">
        <f ca="1">Calculator!AA19</f>
        <v>0.40588781698686055</v>
      </c>
      <c r="H20" s="23">
        <f ca="1">Calculator!AB19</f>
        <v>0.36917358843813936</v>
      </c>
      <c r="I20" s="23">
        <f ca="1">Calculator!AC19</f>
        <v>0.3878098303472724</v>
      </c>
      <c r="J20" s="23">
        <f ca="1">Calculator!AD19</f>
        <v>0.36818607367507689</v>
      </c>
      <c r="K20" s="23">
        <f ca="1">Calculator!AE19</f>
        <v>0.38306884483796172</v>
      </c>
      <c r="L20" s="23">
        <f ca="1">Calculator!AF19</f>
        <v>0.34977750028803067</v>
      </c>
      <c r="M20" s="23">
        <f ca="1">Calculator!AG19</f>
        <v>0.35116700153997288</v>
      </c>
      <c r="N20" s="23">
        <f ca="1">Calculator!AH19</f>
        <v>0.36692197590523346</v>
      </c>
      <c r="O20" s="23">
        <f ca="1">Calculator!AI19</f>
        <v>0.36153636053815263</v>
      </c>
      <c r="P20" s="23">
        <f ca="1">Calculator!AJ19</f>
        <v>0.36543763293064119</v>
      </c>
      <c r="Q20" s="23">
        <f ca="1">Calculator!AK19</f>
        <v>0.36699305083059358</v>
      </c>
      <c r="R20" s="23">
        <f ca="1">Calculator!AL19</f>
        <v>0.36634824993809995</v>
      </c>
      <c r="S20" s="23">
        <f ca="1">Calculator!AM19</f>
        <v>0.37640198997123353</v>
      </c>
      <c r="T20" s="23">
        <f ca="1">Calculator!AN19</f>
        <v>0.3643763250669047</v>
      </c>
      <c r="U20" s="23">
        <f ca="1">Calculator!AO19</f>
        <v>0.36061106938840637</v>
      </c>
      <c r="V20" s="24">
        <f ca="1">Calculator!AP19</f>
        <v>0.38731260902646775</v>
      </c>
      <c r="Z20" s="215" t="s">
        <v>117</v>
      </c>
      <c r="AA20" s="216"/>
      <c r="AB20" s="182">
        <v>0.83799999999999997</v>
      </c>
      <c r="AC20" s="217" t="s">
        <v>11</v>
      </c>
      <c r="AD20" s="217"/>
      <c r="AE20" s="218"/>
    </row>
    <row r="21" spans="2:35" s="9" customFormat="1" ht="12" customHeight="1" x14ac:dyDescent="0.35">
      <c r="B21" s="12"/>
      <c r="C21" s="13" t="str">
        <f>Calculator!W20</f>
        <v>Food.Svc</v>
      </c>
      <c r="D21" s="21">
        <f ca="1">Calculator!X20</f>
        <v>0.57392560918471025</v>
      </c>
      <c r="E21" s="21">
        <f ca="1">Calculator!Y20</f>
        <v>0.55238264852835872</v>
      </c>
      <c r="F21" s="21">
        <f ca="1">Calculator!Z20</f>
        <v>0.55758768084575283</v>
      </c>
      <c r="G21" s="21">
        <f ca="1">Calculator!AA20</f>
        <v>0.55007886805777884</v>
      </c>
      <c r="H21" s="21">
        <f ca="1">Calculator!AB20</f>
        <v>0.54991375165987655</v>
      </c>
      <c r="I21" s="21">
        <f ca="1">Calculator!AC20</f>
        <v>0.54668998524667367</v>
      </c>
      <c r="J21" s="21">
        <f ca="1">Calculator!AD20</f>
        <v>0.58345725262133008</v>
      </c>
      <c r="K21" s="21">
        <f ca="1">Calculator!AE20</f>
        <v>0.55609780086103777</v>
      </c>
      <c r="L21" s="21">
        <f ca="1">Calculator!AF20</f>
        <v>0.54416146231196061</v>
      </c>
      <c r="M21" s="21">
        <f ca="1">Calculator!AG20</f>
        <v>0.58998837751103017</v>
      </c>
      <c r="N21" s="21">
        <f ca="1">Calculator!AH20</f>
        <v>0.56966153235929662</v>
      </c>
      <c r="O21" s="21">
        <f ca="1">Calculator!AI20</f>
        <v>0.59527694543901299</v>
      </c>
      <c r="P21" s="21">
        <f ca="1">Calculator!AJ20</f>
        <v>0.62102677668197948</v>
      </c>
      <c r="Q21" s="21">
        <f ca="1">Calculator!AK20</f>
        <v>0.59074373460430907</v>
      </c>
      <c r="R21" s="21">
        <f ca="1">Calculator!AL20</f>
        <v>0.60910161662076345</v>
      </c>
      <c r="S21" s="21">
        <f ca="1">Calculator!AM20</f>
        <v>0.62840151085521345</v>
      </c>
      <c r="T21" s="21">
        <f ca="1">Calculator!AN20</f>
        <v>0.60729568587502225</v>
      </c>
      <c r="U21" s="21">
        <f ca="1">Calculator!AO20</f>
        <v>0.63907751167861016</v>
      </c>
      <c r="V21" s="22">
        <f ca="1">Calculator!AP20</f>
        <v>0.67015149796168094</v>
      </c>
      <c r="Z21" s="219" t="s">
        <v>110</v>
      </c>
      <c r="AA21" s="220"/>
      <c r="AB21" s="183">
        <v>14.7</v>
      </c>
      <c r="AC21" s="221" t="s">
        <v>15</v>
      </c>
      <c r="AD21" s="221"/>
      <c r="AE21" s="222"/>
    </row>
    <row r="22" spans="2:35" s="9" customFormat="1" ht="12" customHeight="1" thickBot="1" x14ac:dyDescent="0.4">
      <c r="B22" s="14"/>
      <c r="C22" s="15" t="str">
        <f>Calculator!W21</f>
        <v>Retail</v>
      </c>
      <c r="D22" s="23">
        <f ca="1">Calculator!X21</f>
        <v>0.41484224398304331</v>
      </c>
      <c r="E22" s="23">
        <f ca="1">Calculator!Y21</f>
        <v>0.39993621933363221</v>
      </c>
      <c r="F22" s="23">
        <f ca="1">Calculator!Z21</f>
        <v>0.3753426671256872</v>
      </c>
      <c r="G22" s="23">
        <f ca="1">Calculator!AA21</f>
        <v>0.38788826345088839</v>
      </c>
      <c r="H22" s="23">
        <f ca="1">Calculator!AB21</f>
        <v>0.33451469849862581</v>
      </c>
      <c r="I22" s="23">
        <f ca="1">Calculator!AC21</f>
        <v>0.34277264310407424</v>
      </c>
      <c r="J22" s="23">
        <f ca="1">Calculator!AD21</f>
        <v>0.33517797868988403</v>
      </c>
      <c r="K22" s="23">
        <f ca="1">Calculator!AE21</f>
        <v>0.34124199131693078</v>
      </c>
      <c r="L22" s="23">
        <f ca="1">Calculator!AF21</f>
        <v>0.34072421569933631</v>
      </c>
      <c r="M22" s="23">
        <f ca="1">Calculator!AG21</f>
        <v>0.34604494520609724</v>
      </c>
      <c r="N22" s="23">
        <f ca="1">Calculator!AH21</f>
        <v>0.36122867349858417</v>
      </c>
      <c r="O22" s="23">
        <f ca="1">Calculator!AI21</f>
        <v>0.36859980982651563</v>
      </c>
      <c r="P22" s="23">
        <f ca="1">Calculator!AJ21</f>
        <v>0.36271181970695648</v>
      </c>
      <c r="Q22" s="23">
        <f ca="1">Calculator!AK21</f>
        <v>0.36469937711689787</v>
      </c>
      <c r="R22" s="23">
        <f ca="1">Calculator!AL21</f>
        <v>0.38344088272751736</v>
      </c>
      <c r="S22" s="23">
        <f ca="1">Calculator!AM21</f>
        <v>0.36643648288194625</v>
      </c>
      <c r="T22" s="23">
        <f ca="1">Calculator!AN21</f>
        <v>0.36908146264863434</v>
      </c>
      <c r="U22" s="23">
        <f ca="1">Calculator!AO21</f>
        <v>0.38484847668961036</v>
      </c>
      <c r="V22" s="24">
        <f ca="1">Calculator!AP21</f>
        <v>0.41331591529754352</v>
      </c>
      <c r="Z22" s="223" t="s">
        <v>92</v>
      </c>
      <c r="AA22" s="224"/>
      <c r="AB22" s="184">
        <v>123</v>
      </c>
      <c r="AC22" s="227" t="s">
        <v>98</v>
      </c>
      <c r="AD22" s="227"/>
      <c r="AE22" s="228"/>
    </row>
    <row r="23" spans="2:35" s="9" customFormat="1" ht="12" customHeight="1" x14ac:dyDescent="0.35">
      <c r="B23" s="12"/>
      <c r="C23" s="13" t="str">
        <f>Calculator!W22</f>
        <v>School</v>
      </c>
      <c r="D23" s="21">
        <f ca="1">Calculator!X22</f>
        <v>0.44523739718906657</v>
      </c>
      <c r="E23" s="21">
        <f ca="1">Calculator!Y22</f>
        <v>0.44557141471205902</v>
      </c>
      <c r="F23" s="21">
        <f ca="1">Calculator!Z22</f>
        <v>0.42915493427632123</v>
      </c>
      <c r="G23" s="21">
        <f ca="1">Calculator!AA22</f>
        <v>0.43886809639123564</v>
      </c>
      <c r="H23" s="21">
        <f ca="1">Calculator!AB22</f>
        <v>0.40866182677956769</v>
      </c>
      <c r="I23" s="30">
        <f ca="1">Calculator!AC22</f>
        <v>0.42879048347869786</v>
      </c>
      <c r="J23" s="21">
        <f ca="1">Calculator!AD22</f>
        <v>0.43018779695005072</v>
      </c>
      <c r="K23" s="21">
        <f ca="1">Calculator!AE22</f>
        <v>0.39296849198031636</v>
      </c>
      <c r="L23" s="21">
        <f ca="1">Calculator!AF22</f>
        <v>0.36813541344700462</v>
      </c>
      <c r="M23" s="21">
        <f ca="1">Calculator!AG22</f>
        <v>0.36567371150080197</v>
      </c>
      <c r="N23" s="21">
        <f ca="1">Calculator!AH22</f>
        <v>0.37759002764682409</v>
      </c>
      <c r="O23" s="21">
        <f ca="1">Calculator!AI22</f>
        <v>0.37855200628677244</v>
      </c>
      <c r="P23" s="21">
        <f ca="1">Calculator!AJ22</f>
        <v>0.38310795524992919</v>
      </c>
      <c r="Q23" s="21">
        <f ca="1">Calculator!AK22</f>
        <v>0.38149322123997392</v>
      </c>
      <c r="R23" s="21">
        <f ca="1">Calculator!AL22</f>
        <v>0.37797064300706551</v>
      </c>
      <c r="S23" s="21">
        <f ca="1">Calculator!AM22</f>
        <v>0.38302191428810378</v>
      </c>
      <c r="T23" s="21">
        <f ca="1">Calculator!AN22</f>
        <v>0.36853344400423965</v>
      </c>
      <c r="U23" s="21">
        <f ca="1">Calculator!AO22</f>
        <v>0.38294873947215852</v>
      </c>
      <c r="V23" s="22">
        <f ca="1">Calculator!AP22</f>
        <v>0.41404286079681119</v>
      </c>
    </row>
    <row r="24" spans="2:35" s="9" customFormat="1" ht="12" customHeight="1" x14ac:dyDescent="0.35">
      <c r="B24" s="14"/>
      <c r="C24" s="15" t="str">
        <f>Calculator!W23</f>
        <v>Warehouse</v>
      </c>
      <c r="D24" s="23">
        <f ca="1">Calculator!X23</f>
        <v>0.23825437685348269</v>
      </c>
      <c r="E24" s="23">
        <f ca="1">Calculator!Y23</f>
        <v>0.2539998819223051</v>
      </c>
      <c r="F24" s="23">
        <f ca="1">Calculator!Z23</f>
        <v>0.21326238582420776</v>
      </c>
      <c r="G24" s="23">
        <f ca="1">Calculator!AA23</f>
        <v>0.23873250636132287</v>
      </c>
      <c r="H24" s="23">
        <f ca="1">Calculator!AB23</f>
        <v>0.20128086183446087</v>
      </c>
      <c r="I24" s="23">
        <f ca="1">Calculator!AC23</f>
        <v>0.21491020692382418</v>
      </c>
      <c r="J24" s="23">
        <f ca="1">Calculator!AD23</f>
        <v>0.23806337814001577</v>
      </c>
      <c r="K24" s="23">
        <f ca="1">Calculator!AE23</f>
        <v>0.20517909112422533</v>
      </c>
      <c r="L24" s="23">
        <f ca="1">Calculator!AF23</f>
        <v>0.17640457505605206</v>
      </c>
      <c r="M24" s="23">
        <f ca="1">Calculator!AG23</f>
        <v>0.23721547257310008</v>
      </c>
      <c r="N24" s="23">
        <f ca="1">Calculator!AH23</f>
        <v>0.20811178030879815</v>
      </c>
      <c r="O24" s="23">
        <f ca="1">Calculator!AI23</f>
        <v>0.21406706605156611</v>
      </c>
      <c r="P24" s="23">
        <f ca="1">Calculator!AJ23</f>
        <v>0.27681451841869059</v>
      </c>
      <c r="Q24" s="23">
        <f ca="1">Calculator!AK23</f>
        <v>0.2374641157072292</v>
      </c>
      <c r="R24" s="23">
        <f ca="1">Calculator!AL23</f>
        <v>0.2152210728502581</v>
      </c>
      <c r="S24" s="23">
        <f ca="1">Calculator!AM23</f>
        <v>0.3122908161661197</v>
      </c>
      <c r="T24" s="23">
        <f ca="1">Calculator!AN23</f>
        <v>0.27669431213898588</v>
      </c>
      <c r="U24" s="23">
        <f ca="1">Calculator!AO23</f>
        <v>0.28961419707123587</v>
      </c>
      <c r="V24" s="24">
        <f ca="1">Calculator!AP23</f>
        <v>0.32447192992768054</v>
      </c>
    </row>
    <row r="25" spans="2:35" s="9" customFormat="1" ht="12" customHeight="1" x14ac:dyDescent="0.35">
      <c r="B25" s="16"/>
      <c r="C25" s="17" t="str">
        <f>Calculator!W24</f>
        <v>Other</v>
      </c>
      <c r="D25" s="25">
        <f ca="1">Calculator!X24</f>
        <v>0.5267960962230781</v>
      </c>
      <c r="E25" s="25">
        <f ca="1">Calculator!Y24</f>
        <v>0.5100999418572375</v>
      </c>
      <c r="F25" s="25">
        <f ca="1">Calculator!Z24</f>
        <v>0.50096198985594453</v>
      </c>
      <c r="G25" s="25">
        <f ca="1">Calculator!AA24</f>
        <v>0.50666373110969598</v>
      </c>
      <c r="H25" s="25">
        <f ca="1">Calculator!AB24</f>
        <v>0.43812220004018804</v>
      </c>
      <c r="I25" s="25">
        <f ca="1">Calculator!AC24</f>
        <v>0.42179707866886723</v>
      </c>
      <c r="J25" s="25">
        <f ca="1">Calculator!AD24</f>
        <v>0.43039219032064074</v>
      </c>
      <c r="K25" s="25">
        <f ca="1">Calculator!AE24</f>
        <v>0.42109153566193747</v>
      </c>
      <c r="L25" s="25">
        <f ca="1">Calculator!AF24</f>
        <v>0.41751339581436303</v>
      </c>
      <c r="M25" s="25">
        <f ca="1">Calculator!AG24</f>
        <v>0.43398302306280878</v>
      </c>
      <c r="N25" s="25">
        <f ca="1">Calculator!AH24</f>
        <v>0.41878508309328155</v>
      </c>
      <c r="O25" s="25">
        <f ca="1">Calculator!AI24</f>
        <v>0.44383015594014003</v>
      </c>
      <c r="P25" s="25">
        <f ca="1">Calculator!AJ24</f>
        <v>0.43580702256040244</v>
      </c>
      <c r="Q25" s="25">
        <f ca="1">Calculator!AK24</f>
        <v>0.42950799044899818</v>
      </c>
      <c r="R25" s="25">
        <f ca="1">Calculator!AL24</f>
        <v>0.4478437226695775</v>
      </c>
      <c r="S25" s="25">
        <f ca="1">Calculator!AM24</f>
        <v>0.44252153890556434</v>
      </c>
      <c r="T25" s="25">
        <f ca="1">Calculator!AN24</f>
        <v>0.43837294885877764</v>
      </c>
      <c r="U25" s="25">
        <f ca="1">Calculator!AO24</f>
        <v>0.44862602632456744</v>
      </c>
      <c r="V25" s="26">
        <f ca="1">Calculator!AP24</f>
        <v>0.46924894307280707</v>
      </c>
    </row>
    <row r="26" spans="2:35" ht="12" customHeight="1" thickBot="1" x14ac:dyDescent="0.4">
      <c r="B26" s="9"/>
      <c r="C26" s="9"/>
      <c r="D26" s="9"/>
      <c r="E26" s="9"/>
      <c r="F26" s="9"/>
      <c r="G26" s="9"/>
      <c r="H26" s="9"/>
      <c r="I26" s="9"/>
      <c r="J26" s="9"/>
      <c r="K26" s="9"/>
      <c r="L26" s="9"/>
      <c r="M26" s="9"/>
      <c r="N26" s="9"/>
      <c r="O26" s="9"/>
      <c r="P26" s="9"/>
      <c r="Q26" s="9"/>
      <c r="R26" s="9"/>
      <c r="S26" s="9"/>
      <c r="T26" s="9"/>
      <c r="U26" s="9"/>
      <c r="V26" s="9"/>
      <c r="W26" s="9"/>
      <c r="X26" s="9"/>
    </row>
    <row r="27" spans="2:35" s="94" customFormat="1" ht="15" customHeight="1" x14ac:dyDescent="0.35">
      <c r="B27" s="31"/>
      <c r="C27" s="32" t="str">
        <f>Calculator!W29</f>
        <v>BPF_Source</v>
      </c>
      <c r="D27" s="32"/>
      <c r="E27" s="32"/>
      <c r="F27" s="32"/>
      <c r="G27" s="32"/>
      <c r="H27" s="32"/>
      <c r="I27" s="32"/>
      <c r="J27" s="32"/>
      <c r="K27" s="32"/>
      <c r="L27" s="32"/>
      <c r="M27" s="32"/>
      <c r="N27" s="32"/>
      <c r="O27" s="32"/>
      <c r="P27" s="32"/>
      <c r="Q27" s="32"/>
      <c r="R27" s="32"/>
      <c r="S27" s="32"/>
      <c r="T27" s="32"/>
      <c r="U27" s="32"/>
      <c r="V27" s="96"/>
      <c r="Z27" s="206" t="s">
        <v>104</v>
      </c>
      <c r="AA27" s="207"/>
      <c r="AB27" s="207"/>
      <c r="AC27" s="208"/>
      <c r="AD27" s="173"/>
      <c r="AE27" s="174"/>
      <c r="AF27" s="175"/>
    </row>
    <row r="28" spans="2:35" s="94" customFormat="1" ht="16.5" customHeight="1" x14ac:dyDescent="0.35">
      <c r="B28" s="100"/>
      <c r="C28" s="101" t="str">
        <f>Calculator!W30</f>
        <v>Group</v>
      </c>
      <c r="D28" s="102" t="str">
        <f>Calculator!X30</f>
        <v>0A</v>
      </c>
      <c r="E28" s="102" t="str">
        <f>Calculator!Y30</f>
        <v>0B</v>
      </c>
      <c r="F28" s="102" t="str">
        <f>Calculator!Z30</f>
        <v>1A</v>
      </c>
      <c r="G28" s="102" t="str">
        <f>Calculator!AA30</f>
        <v>1B</v>
      </c>
      <c r="H28" s="102" t="str">
        <f>Calculator!AB30</f>
        <v>2A</v>
      </c>
      <c r="I28" s="102" t="str">
        <f>Calculator!AC30</f>
        <v>2B</v>
      </c>
      <c r="J28" s="102" t="str">
        <f>Calculator!AD30</f>
        <v>3A</v>
      </c>
      <c r="K28" s="102" t="str">
        <f>Calculator!AE30</f>
        <v>3B</v>
      </c>
      <c r="L28" s="102" t="str">
        <f>Calculator!AF30</f>
        <v>3C</v>
      </c>
      <c r="M28" s="102" t="str">
        <f>Calculator!AG30</f>
        <v>4A</v>
      </c>
      <c r="N28" s="102" t="str">
        <f>Calculator!AH30</f>
        <v>4B</v>
      </c>
      <c r="O28" s="102" t="str">
        <f>Calculator!AI30</f>
        <v>4C</v>
      </c>
      <c r="P28" s="102" t="str">
        <f>Calculator!AJ30</f>
        <v>5A</v>
      </c>
      <c r="Q28" s="102" t="str">
        <f>Calculator!AK30</f>
        <v>5B</v>
      </c>
      <c r="R28" s="102" t="str">
        <f>Calculator!AL30</f>
        <v>5C</v>
      </c>
      <c r="S28" s="102" t="str">
        <f>Calculator!AM30</f>
        <v>6A</v>
      </c>
      <c r="T28" s="102" t="str">
        <f>Calculator!AN30</f>
        <v>6B</v>
      </c>
      <c r="U28" s="102" t="str">
        <f>Calculator!AO30</f>
        <v>7</v>
      </c>
      <c r="V28" s="103" t="str">
        <f>Calculator!AP30</f>
        <v>8</v>
      </c>
      <c r="Z28" s="209"/>
      <c r="AA28" s="210"/>
      <c r="AB28" s="210"/>
      <c r="AC28" s="211"/>
      <c r="AD28" s="171"/>
      <c r="AE28" s="172"/>
      <c r="AF28" s="176"/>
      <c r="AH28"/>
      <c r="AI28"/>
    </row>
    <row r="29" spans="2:35" s="9" customFormat="1" ht="12" customHeight="1" x14ac:dyDescent="0.35">
      <c r="B29" s="8"/>
      <c r="C29" s="13" t="str">
        <f>Calculator!W31</f>
        <v>Apartment</v>
      </c>
      <c r="D29" s="21">
        <f ca="1">Calculator!X31</f>
        <v>0.62</v>
      </c>
      <c r="E29" s="21">
        <f ca="1">Calculator!Y31</f>
        <v>0.57999999999999996</v>
      </c>
      <c r="F29" s="21">
        <f ca="1">Calculator!Z31</f>
        <v>0.61</v>
      </c>
      <c r="G29" s="21">
        <f ca="1">Calculator!AA31</f>
        <v>0.59</v>
      </c>
      <c r="H29" s="21">
        <f ca="1">Calculator!AB31</f>
        <v>0.6</v>
      </c>
      <c r="I29" s="21">
        <f ca="1">Calculator!AC31</f>
        <v>0.57999999999999996</v>
      </c>
      <c r="J29" s="21">
        <f ca="1">Calculator!AD31</f>
        <v>0.6</v>
      </c>
      <c r="K29" s="21">
        <f ca="1">Calculator!AE31</f>
        <v>0.59</v>
      </c>
      <c r="L29" s="21">
        <f ca="1">Calculator!AF31</f>
        <v>0.49</v>
      </c>
      <c r="M29" s="21">
        <f ca="1">Calculator!AG31</f>
        <v>0.55000000000000004</v>
      </c>
      <c r="N29" s="21">
        <f ca="1">Calculator!AH31</f>
        <v>0.57999999999999996</v>
      </c>
      <c r="O29" s="21">
        <f ca="1">Calculator!AI31</f>
        <v>0.56000000000000005</v>
      </c>
      <c r="P29" s="21">
        <f ca="1">Calculator!AJ31</f>
        <v>0.53</v>
      </c>
      <c r="Q29" s="21">
        <f ca="1">Calculator!AK31</f>
        <v>0.56000000000000005</v>
      </c>
      <c r="R29" s="21">
        <f ca="1">Calculator!AL31</f>
        <v>0.56999999999999995</v>
      </c>
      <c r="S29" s="21">
        <f ca="1">Calculator!AM31</f>
        <v>0.51</v>
      </c>
      <c r="T29" s="21">
        <f ca="1">Calculator!AN31</f>
        <v>0.53</v>
      </c>
      <c r="U29" s="21">
        <f ca="1">Calculator!AO31</f>
        <v>0.53</v>
      </c>
      <c r="V29" s="22">
        <f ca="1">Calculator!AP31</f>
        <v>0.56999999999999995</v>
      </c>
      <c r="Z29" s="209"/>
      <c r="AA29" s="210"/>
      <c r="AB29" s="210"/>
      <c r="AC29" s="211"/>
      <c r="AD29" s="171"/>
      <c r="AE29" s="172"/>
      <c r="AF29" s="176"/>
      <c r="AH29"/>
      <c r="AI29"/>
    </row>
    <row r="30" spans="2:35" s="9" customFormat="1" ht="12" customHeight="1" x14ac:dyDescent="0.35">
      <c r="B30" s="18"/>
      <c r="C30" s="15" t="str">
        <f>Calculator!W32</f>
        <v>Medical</v>
      </c>
      <c r="D30" s="27">
        <f ca="1">Calculator!X32</f>
        <v>0.57999999999999996</v>
      </c>
      <c r="E30" s="23">
        <f ca="1">Calculator!Y32</f>
        <v>0.56999999999999995</v>
      </c>
      <c r="F30" s="23">
        <f ca="1">Calculator!Z32</f>
        <v>0.56999999999999995</v>
      </c>
      <c r="G30" s="23">
        <f ca="1">Calculator!AA32</f>
        <v>0.57999999999999996</v>
      </c>
      <c r="H30" s="23">
        <f ca="1">Calculator!AB32</f>
        <v>0.57999999999999996</v>
      </c>
      <c r="I30" s="23">
        <f ca="1">Calculator!AC32</f>
        <v>0.57999999999999996</v>
      </c>
      <c r="J30" s="23">
        <f ca="1">Calculator!AD32</f>
        <v>0.56000000000000005</v>
      </c>
      <c r="K30" s="23">
        <f ca="1">Calculator!AE32</f>
        <v>0.56999999999999995</v>
      </c>
      <c r="L30" s="23">
        <f ca="1">Calculator!AF32</f>
        <v>0.54</v>
      </c>
      <c r="M30" s="23">
        <f ca="1">Calculator!AG32</f>
        <v>0.54</v>
      </c>
      <c r="N30" s="23">
        <f ca="1">Calculator!AH32</f>
        <v>0.56000000000000005</v>
      </c>
      <c r="O30" s="23">
        <f ca="1">Calculator!AI32</f>
        <v>0.55000000000000004</v>
      </c>
      <c r="P30" s="23">
        <f ca="1">Calculator!AJ32</f>
        <v>0.55000000000000004</v>
      </c>
      <c r="Q30" s="23">
        <f ca="1">Calculator!AK32</f>
        <v>0.55000000000000004</v>
      </c>
      <c r="R30" s="23">
        <f ca="1">Calculator!AL32</f>
        <v>0.54</v>
      </c>
      <c r="S30" s="23">
        <f ca="1">Calculator!AM32</f>
        <v>0.54</v>
      </c>
      <c r="T30" s="23">
        <f ca="1">Calculator!AN32</f>
        <v>0.54</v>
      </c>
      <c r="U30" s="23">
        <f ca="1">Calculator!AO32</f>
        <v>0.55000000000000004</v>
      </c>
      <c r="V30" s="24">
        <f ca="1">Calculator!AP32</f>
        <v>0.56999999999999995</v>
      </c>
      <c r="Z30" s="209"/>
      <c r="AA30" s="210"/>
      <c r="AB30" s="210"/>
      <c r="AC30" s="211"/>
      <c r="AD30" s="171"/>
      <c r="AE30" s="172"/>
      <c r="AF30" s="176"/>
      <c r="AH30"/>
      <c r="AI30"/>
    </row>
    <row r="31" spans="2:35" s="9" customFormat="1" ht="12" customHeight="1" x14ac:dyDescent="0.35">
      <c r="B31" s="8"/>
      <c r="C31" s="13" t="str">
        <f>Calculator!W33</f>
        <v>Hotel</v>
      </c>
      <c r="D31" s="28">
        <f ca="1">Calculator!X33</f>
        <v>0.59</v>
      </c>
      <c r="E31" s="21">
        <f ca="1">Calculator!Y33</f>
        <v>0.56999999999999995</v>
      </c>
      <c r="F31" s="21">
        <f ca="1">Calculator!Z33</f>
        <v>0.59</v>
      </c>
      <c r="G31" s="21">
        <f ca="1">Calculator!AA33</f>
        <v>0.56999999999999995</v>
      </c>
      <c r="H31" s="21">
        <f ca="1">Calculator!AB33</f>
        <v>0.56999999999999995</v>
      </c>
      <c r="I31" s="21">
        <f ca="1">Calculator!AC33</f>
        <v>0.55000000000000004</v>
      </c>
      <c r="J31" s="21">
        <f ca="1">Calculator!AD33</f>
        <v>0.56000000000000005</v>
      </c>
      <c r="K31" s="21">
        <f ca="1">Calculator!AE33</f>
        <v>0.56000000000000005</v>
      </c>
      <c r="L31" s="21">
        <f ca="1">Calculator!AF33</f>
        <v>0.55000000000000004</v>
      </c>
      <c r="M31" s="21">
        <f ca="1">Calculator!AG33</f>
        <v>0.55000000000000004</v>
      </c>
      <c r="N31" s="21">
        <f ca="1">Calculator!AH33</f>
        <v>0.55000000000000004</v>
      </c>
      <c r="O31" s="21">
        <f ca="1">Calculator!AI33</f>
        <v>0.55000000000000004</v>
      </c>
      <c r="P31" s="21">
        <f ca="1">Calculator!AJ33</f>
        <v>0.54</v>
      </c>
      <c r="Q31" s="21">
        <f ca="1">Calculator!AK33</f>
        <v>0.55000000000000004</v>
      </c>
      <c r="R31" s="21">
        <f ca="1">Calculator!AL33</f>
        <v>0.55000000000000004</v>
      </c>
      <c r="S31" s="21">
        <f ca="1">Calculator!AM33</f>
        <v>0.53</v>
      </c>
      <c r="T31" s="21">
        <f ca="1">Calculator!AN33</f>
        <v>0.55000000000000004</v>
      </c>
      <c r="U31" s="21">
        <f ca="1">Calculator!AO33</f>
        <v>0.54</v>
      </c>
      <c r="V31" s="22">
        <f ca="1">Calculator!AP33</f>
        <v>0.54</v>
      </c>
      <c r="Z31" s="209"/>
      <c r="AA31" s="210"/>
      <c r="AB31" s="210"/>
      <c r="AC31" s="211"/>
      <c r="AD31" s="171"/>
      <c r="AE31" s="172"/>
      <c r="AF31" s="176"/>
      <c r="AH31"/>
      <c r="AI31"/>
    </row>
    <row r="32" spans="2:35" s="9" customFormat="1" ht="12" customHeight="1" x14ac:dyDescent="0.35">
      <c r="B32" s="18"/>
      <c r="C32" s="15" t="str">
        <f>Calculator!W34</f>
        <v>Office</v>
      </c>
      <c r="D32" s="27">
        <f ca="1">Calculator!X34</f>
        <v>0.43</v>
      </c>
      <c r="E32" s="23">
        <f ca="1">Calculator!Y34</f>
        <v>0.42</v>
      </c>
      <c r="F32" s="23">
        <f ca="1">Calculator!Z34</f>
        <v>0.4</v>
      </c>
      <c r="G32" s="23">
        <f ca="1">Calculator!AA34</f>
        <v>0.41</v>
      </c>
      <c r="H32" s="23">
        <f ca="1">Calculator!AB34</f>
        <v>0.37</v>
      </c>
      <c r="I32" s="23">
        <f ca="1">Calculator!AC34</f>
        <v>0.39</v>
      </c>
      <c r="J32" s="23">
        <f ca="1">Calculator!AD34</f>
        <v>0.37</v>
      </c>
      <c r="K32" s="23">
        <f ca="1">Calculator!AE34</f>
        <v>0.39</v>
      </c>
      <c r="L32" s="23">
        <f ca="1">Calculator!AF34</f>
        <v>0.35</v>
      </c>
      <c r="M32" s="23">
        <f ca="1">Calculator!AG34</f>
        <v>0.36</v>
      </c>
      <c r="N32" s="23">
        <f ca="1">Calculator!AH34</f>
        <v>0.37</v>
      </c>
      <c r="O32" s="23">
        <f ca="1">Calculator!AI34</f>
        <v>0.37</v>
      </c>
      <c r="P32" s="23">
        <f ca="1">Calculator!AJ34</f>
        <v>0.38</v>
      </c>
      <c r="Q32" s="23">
        <f ca="1">Calculator!AK34</f>
        <v>0.38</v>
      </c>
      <c r="R32" s="23">
        <f ca="1">Calculator!AL34</f>
        <v>0.38</v>
      </c>
      <c r="S32" s="23">
        <f ca="1">Calculator!AM34</f>
        <v>0.4</v>
      </c>
      <c r="T32" s="23">
        <f ca="1">Calculator!AN34</f>
        <v>0.38</v>
      </c>
      <c r="U32" s="23">
        <f ca="1">Calculator!AO34</f>
        <v>0.37</v>
      </c>
      <c r="V32" s="24">
        <f ca="1">Calculator!AP34</f>
        <v>0.41</v>
      </c>
      <c r="Z32" s="209"/>
      <c r="AA32" s="210"/>
      <c r="AB32" s="210"/>
      <c r="AC32" s="211"/>
      <c r="AD32" s="171"/>
      <c r="AE32" s="172"/>
      <c r="AF32" s="176"/>
      <c r="AH32"/>
      <c r="AI32"/>
    </row>
    <row r="33" spans="1:51" s="9" customFormat="1" ht="12" customHeight="1" x14ac:dyDescent="0.35">
      <c r="B33" s="8"/>
      <c r="C33" s="13" t="str">
        <f>Calculator!W35</f>
        <v>Food.Svc</v>
      </c>
      <c r="D33" s="28">
        <f ca="1">Calculator!X35</f>
        <v>0.57999999999999996</v>
      </c>
      <c r="E33" s="21">
        <f ca="1">Calculator!Y35</f>
        <v>0.56000000000000005</v>
      </c>
      <c r="F33" s="21">
        <f ca="1">Calculator!Z35</f>
        <v>0.56999999999999995</v>
      </c>
      <c r="G33" s="21">
        <f ca="1">Calculator!AA35</f>
        <v>0.56000000000000005</v>
      </c>
      <c r="H33" s="21">
        <f ca="1">Calculator!AB35</f>
        <v>0.56000000000000005</v>
      </c>
      <c r="I33" s="21">
        <f ca="1">Calculator!AC35</f>
        <v>0.56000000000000005</v>
      </c>
      <c r="J33" s="21">
        <f ca="1">Calculator!AD35</f>
        <v>0.6</v>
      </c>
      <c r="K33" s="21">
        <f ca="1">Calculator!AE35</f>
        <v>0.59</v>
      </c>
      <c r="L33" s="21">
        <f ca="1">Calculator!AF35</f>
        <v>0.56999999999999995</v>
      </c>
      <c r="M33" s="21">
        <f ca="1">Calculator!AG35</f>
        <v>0.64</v>
      </c>
      <c r="N33" s="21">
        <f ca="1">Calculator!AH35</f>
        <v>0.62</v>
      </c>
      <c r="O33" s="21">
        <f ca="1">Calculator!AI35</f>
        <v>0.65</v>
      </c>
      <c r="P33" s="21">
        <f ca="1">Calculator!AJ35</f>
        <v>0.68</v>
      </c>
      <c r="Q33" s="21">
        <f ca="1">Calculator!AK35</f>
        <v>0.64</v>
      </c>
      <c r="R33" s="21">
        <f ca="1">Calculator!AL35</f>
        <v>0.67</v>
      </c>
      <c r="S33" s="21">
        <f ca="1">Calculator!AM35</f>
        <v>0.69</v>
      </c>
      <c r="T33" s="21">
        <f ca="1">Calculator!AN35</f>
        <v>0.67</v>
      </c>
      <c r="U33" s="21">
        <f ca="1">Calculator!AO35</f>
        <v>0.7</v>
      </c>
      <c r="V33" s="22">
        <f ca="1">Calculator!AP35</f>
        <v>0.73</v>
      </c>
      <c r="Z33" s="209"/>
      <c r="AA33" s="210"/>
      <c r="AB33" s="210"/>
      <c r="AC33" s="211"/>
      <c r="AD33" s="171"/>
      <c r="AE33" s="172"/>
      <c r="AF33" s="176"/>
      <c r="AH33"/>
      <c r="AI33"/>
    </row>
    <row r="34" spans="1:51" s="9" customFormat="1" ht="12" customHeight="1" x14ac:dyDescent="0.35">
      <c r="B34" s="18"/>
      <c r="C34" s="15" t="str">
        <f>Calculator!W36</f>
        <v>Retail</v>
      </c>
      <c r="D34" s="27">
        <f ca="1">Calculator!X36</f>
        <v>0.41</v>
      </c>
      <c r="E34" s="23">
        <f ca="1">Calculator!Y36</f>
        <v>0.4</v>
      </c>
      <c r="F34" s="23">
        <f ca="1">Calculator!Z36</f>
        <v>0.38</v>
      </c>
      <c r="G34" s="23">
        <f ca="1">Calculator!AA36</f>
        <v>0.39</v>
      </c>
      <c r="H34" s="23">
        <f ca="1">Calculator!AB36</f>
        <v>0.33</v>
      </c>
      <c r="I34" s="23">
        <f ca="1">Calculator!AC36</f>
        <v>0.34</v>
      </c>
      <c r="J34" s="23">
        <f ca="1">Calculator!AD36</f>
        <v>0.34</v>
      </c>
      <c r="K34" s="23">
        <f ca="1">Calculator!AE36</f>
        <v>0.35</v>
      </c>
      <c r="L34" s="23">
        <f ca="1">Calculator!AF36</f>
        <v>0.34</v>
      </c>
      <c r="M34" s="23">
        <f ca="1">Calculator!AG36</f>
        <v>0.36</v>
      </c>
      <c r="N34" s="23">
        <f ca="1">Calculator!AH36</f>
        <v>0.37</v>
      </c>
      <c r="O34" s="23">
        <f ca="1">Calculator!AI36</f>
        <v>0.39</v>
      </c>
      <c r="P34" s="23">
        <f ca="1">Calculator!AJ36</f>
        <v>0.38</v>
      </c>
      <c r="Q34" s="23">
        <f ca="1">Calculator!AK36</f>
        <v>0.39</v>
      </c>
      <c r="R34" s="23">
        <f ca="1">Calculator!AL36</f>
        <v>0.41</v>
      </c>
      <c r="S34" s="23">
        <f ca="1">Calculator!AM36</f>
        <v>0.39</v>
      </c>
      <c r="T34" s="23">
        <f ca="1">Calculator!AN36</f>
        <v>0.39</v>
      </c>
      <c r="U34" s="23">
        <f ca="1">Calculator!AO36</f>
        <v>0.42</v>
      </c>
      <c r="V34" s="24">
        <f ca="1">Calculator!AP36</f>
        <v>0.45</v>
      </c>
      <c r="Z34" s="209"/>
      <c r="AA34" s="210"/>
      <c r="AB34" s="210"/>
      <c r="AC34" s="211"/>
      <c r="AD34" s="171"/>
      <c r="AE34" s="172"/>
      <c r="AF34" s="176"/>
      <c r="AH34"/>
      <c r="AI34"/>
    </row>
    <row r="35" spans="1:51" s="9" customFormat="1" ht="12" customHeight="1" x14ac:dyDescent="0.35">
      <c r="B35" s="8"/>
      <c r="C35" s="13" t="str">
        <f>Calculator!W37</f>
        <v>School</v>
      </c>
      <c r="D35" s="28">
        <f ca="1">Calculator!X37</f>
        <v>0.45</v>
      </c>
      <c r="E35" s="21">
        <f ca="1">Calculator!Y37</f>
        <v>0.45</v>
      </c>
      <c r="F35" s="21">
        <f ca="1">Calculator!Z37</f>
        <v>0.43</v>
      </c>
      <c r="G35" s="21">
        <f ca="1">Calculator!AA37</f>
        <v>0.44</v>
      </c>
      <c r="H35" s="21">
        <f ca="1">Calculator!AB37</f>
        <v>0.41</v>
      </c>
      <c r="I35" s="21">
        <f ca="1">Calculator!AC37</f>
        <v>0.43</v>
      </c>
      <c r="J35" s="21">
        <f ca="1">Calculator!AD37</f>
        <v>0.43</v>
      </c>
      <c r="K35" s="21">
        <f ca="1">Calculator!AE37</f>
        <v>0.4</v>
      </c>
      <c r="L35" s="21">
        <f ca="1">Calculator!AF37</f>
        <v>0.38</v>
      </c>
      <c r="M35" s="21">
        <f ca="1">Calculator!AG37</f>
        <v>0.36</v>
      </c>
      <c r="N35" s="21">
        <f ca="1">Calculator!AH37</f>
        <v>0.39</v>
      </c>
      <c r="O35" s="21">
        <f ca="1">Calculator!AI37</f>
        <v>0.4</v>
      </c>
      <c r="P35" s="21">
        <f ca="1">Calculator!AJ37</f>
        <v>0.38</v>
      </c>
      <c r="Q35" s="21">
        <f ca="1">Calculator!AK37</f>
        <v>0.4</v>
      </c>
      <c r="R35" s="21">
        <f ca="1">Calculator!AL37</f>
        <v>0.4</v>
      </c>
      <c r="S35" s="21">
        <f ca="1">Calculator!AM37</f>
        <v>0.38</v>
      </c>
      <c r="T35" s="21">
        <f ca="1">Calculator!AN37</f>
        <v>0.37</v>
      </c>
      <c r="U35" s="21">
        <f ca="1">Calculator!AO37</f>
        <v>0.39</v>
      </c>
      <c r="V35" s="22">
        <f ca="1">Calculator!AP37</f>
        <v>0.43</v>
      </c>
      <c r="Z35" s="209"/>
      <c r="AA35" s="210"/>
      <c r="AB35" s="210"/>
      <c r="AC35" s="211"/>
      <c r="AD35" s="171"/>
      <c r="AE35" s="172"/>
      <c r="AF35" s="176"/>
      <c r="AH35"/>
      <c r="AI35"/>
    </row>
    <row r="36" spans="1:51" s="9" customFormat="1" ht="12" customHeight="1" thickBot="1" x14ac:dyDescent="0.4">
      <c r="B36" s="18"/>
      <c r="C36" s="15" t="str">
        <f>Calculator!W38</f>
        <v>Warehouse</v>
      </c>
      <c r="D36" s="27">
        <f ca="1">Calculator!X38</f>
        <v>0.24</v>
      </c>
      <c r="E36" s="23">
        <f ca="1">Calculator!Y38</f>
        <v>0.25</v>
      </c>
      <c r="F36" s="23">
        <f ca="1">Calculator!Z38</f>
        <v>0.21</v>
      </c>
      <c r="G36" s="23">
        <f ca="1">Calculator!AA38</f>
        <v>0.24</v>
      </c>
      <c r="H36" s="23">
        <f ca="1">Calculator!AB38</f>
        <v>0.2</v>
      </c>
      <c r="I36" s="23">
        <f ca="1">Calculator!AC38</f>
        <v>0.21</v>
      </c>
      <c r="J36" s="23">
        <f ca="1">Calculator!AD38</f>
        <v>0.24</v>
      </c>
      <c r="K36" s="23">
        <f ca="1">Calculator!AE38</f>
        <v>0.21</v>
      </c>
      <c r="L36" s="23">
        <f ca="1">Calculator!AF38</f>
        <v>0.18</v>
      </c>
      <c r="M36" s="23">
        <f ca="1">Calculator!AG38</f>
        <v>0.28999999999999998</v>
      </c>
      <c r="N36" s="23">
        <f ca="1">Calculator!AH38</f>
        <v>0.23</v>
      </c>
      <c r="O36" s="23">
        <f ca="1">Calculator!AI38</f>
        <v>0.25</v>
      </c>
      <c r="P36" s="23">
        <f ca="1">Calculator!AJ38</f>
        <v>0.36</v>
      </c>
      <c r="Q36" s="23">
        <f ca="1">Calculator!AK38</f>
        <v>0.28999999999999998</v>
      </c>
      <c r="R36" s="23">
        <f ca="1">Calculator!AL38</f>
        <v>0.25</v>
      </c>
      <c r="S36" s="23">
        <f ca="1">Calculator!AM38</f>
        <v>0.4</v>
      </c>
      <c r="T36" s="23">
        <f ca="1">Calculator!AN38</f>
        <v>0.34</v>
      </c>
      <c r="U36" s="23">
        <f ca="1">Calculator!AO38</f>
        <v>0.36</v>
      </c>
      <c r="V36" s="24">
        <f ca="1">Calculator!AP38</f>
        <v>0.4</v>
      </c>
      <c r="Z36" s="212"/>
      <c r="AA36" s="213"/>
      <c r="AB36" s="213"/>
      <c r="AC36" s="214"/>
      <c r="AD36" s="177"/>
      <c r="AE36" s="178"/>
      <c r="AF36" s="179"/>
      <c r="AH36"/>
      <c r="AI36"/>
    </row>
    <row r="37" spans="1:51" s="9" customFormat="1" ht="12" customHeight="1" x14ac:dyDescent="0.35">
      <c r="B37" s="11"/>
      <c r="C37" s="17" t="str">
        <f>Calculator!W39</f>
        <v>Other</v>
      </c>
      <c r="D37" s="29">
        <f ca="1">Calculator!X39</f>
        <v>0.53</v>
      </c>
      <c r="E37" s="25">
        <f ca="1">Calculator!Y39</f>
        <v>0.51</v>
      </c>
      <c r="F37" s="25">
        <f ca="1">Calculator!Z39</f>
        <v>0.51</v>
      </c>
      <c r="G37" s="25">
        <f ca="1">Calculator!AA39</f>
        <v>0.51</v>
      </c>
      <c r="H37" s="25">
        <f ca="1">Calculator!AB39</f>
        <v>0.44</v>
      </c>
      <c r="I37" s="25">
        <f ca="1">Calculator!AC39</f>
        <v>0.43</v>
      </c>
      <c r="J37" s="25">
        <f ca="1">Calculator!AD39</f>
        <v>0.44</v>
      </c>
      <c r="K37" s="25">
        <f ca="1">Calculator!AE39</f>
        <v>0.43</v>
      </c>
      <c r="L37" s="25">
        <f ca="1">Calculator!AF39</f>
        <v>0.43</v>
      </c>
      <c r="M37" s="25">
        <f ca="1">Calculator!AG39</f>
        <v>0.44</v>
      </c>
      <c r="N37" s="25">
        <f ca="1">Calculator!AH39</f>
        <v>0.43</v>
      </c>
      <c r="O37" s="25">
        <f ca="1">Calculator!AI39</f>
        <v>0.46</v>
      </c>
      <c r="P37" s="25">
        <f ca="1">Calculator!AJ39</f>
        <v>0.45</v>
      </c>
      <c r="Q37" s="25">
        <f ca="1">Calculator!AK39</f>
        <v>0.45</v>
      </c>
      <c r="R37" s="25">
        <f ca="1">Calculator!AL39</f>
        <v>0.47</v>
      </c>
      <c r="S37" s="25">
        <f ca="1">Calculator!AM39</f>
        <v>0.46</v>
      </c>
      <c r="T37" s="25">
        <f ca="1">Calculator!AN39</f>
        <v>0.46</v>
      </c>
      <c r="U37" s="25">
        <f ca="1">Calculator!AO39</f>
        <v>0.47</v>
      </c>
      <c r="V37" s="26">
        <f ca="1">Calculator!AP39</f>
        <v>0.5</v>
      </c>
      <c r="AH37"/>
      <c r="AI37"/>
    </row>
    <row r="38" spans="1:51" x14ac:dyDescent="0.35"/>
    <row r="39" spans="1:51" ht="15" x14ac:dyDescent="0.4">
      <c r="A39" s="4"/>
      <c r="B39" s="111"/>
      <c r="C39" s="112" t="str">
        <f>Calculator!W44</f>
        <v>BPF_Emissions</v>
      </c>
      <c r="D39" s="112"/>
      <c r="E39" s="112"/>
      <c r="F39" s="112"/>
      <c r="G39" s="112"/>
      <c r="H39" s="112"/>
      <c r="I39" s="112"/>
      <c r="J39" s="112"/>
      <c r="K39" s="112"/>
      <c r="L39" s="112"/>
      <c r="M39" s="112"/>
      <c r="N39" s="112"/>
      <c r="O39" s="112"/>
      <c r="P39" s="112"/>
      <c r="Q39" s="112"/>
      <c r="R39" s="112"/>
      <c r="S39" s="112"/>
      <c r="T39" s="112"/>
      <c r="U39" s="112"/>
      <c r="V39" s="113"/>
      <c r="W39" s="4"/>
      <c r="X39" s="4"/>
      <c r="Y39" s="4"/>
      <c r="Z39" s="4"/>
      <c r="AA39" s="4"/>
      <c r="AB39" s="4"/>
      <c r="AC39" s="4"/>
      <c r="AH39" s="4"/>
      <c r="AI39" s="4"/>
      <c r="AJ39" s="4"/>
      <c r="AK39" s="4"/>
      <c r="AL39" s="4"/>
      <c r="AM39" s="4"/>
      <c r="AN39" s="4"/>
      <c r="AO39" s="4"/>
      <c r="AP39" s="4"/>
      <c r="AQ39" s="4"/>
      <c r="AR39" s="4"/>
      <c r="AS39" s="4"/>
      <c r="AU39" s="4"/>
      <c r="AV39" s="4"/>
      <c r="AW39" s="4"/>
      <c r="AX39" s="4"/>
      <c r="AY39" s="4"/>
    </row>
    <row r="40" spans="1:51" ht="15" x14ac:dyDescent="0.4">
      <c r="B40" s="118"/>
      <c r="C40" s="119" t="str">
        <f>Calculator!W45</f>
        <v>Group</v>
      </c>
      <c r="D40" s="120" t="str">
        <f>Calculator!X45</f>
        <v>0A</v>
      </c>
      <c r="E40" s="120" t="str">
        <f>Calculator!Y45</f>
        <v>0B</v>
      </c>
      <c r="F40" s="120" t="str">
        <f>Calculator!Z45</f>
        <v>1A</v>
      </c>
      <c r="G40" s="120" t="str">
        <f>Calculator!AA45</f>
        <v>1B</v>
      </c>
      <c r="H40" s="120" t="str">
        <f>Calculator!AB45</f>
        <v>2A</v>
      </c>
      <c r="I40" s="120" t="str">
        <f>Calculator!AC45</f>
        <v>2B</v>
      </c>
      <c r="J40" s="120" t="str">
        <f>Calculator!AD45</f>
        <v>3A</v>
      </c>
      <c r="K40" s="120" t="str">
        <f>Calculator!AE45</f>
        <v>3B</v>
      </c>
      <c r="L40" s="120" t="str">
        <f>Calculator!AF45</f>
        <v>3C</v>
      </c>
      <c r="M40" s="120" t="str">
        <f>Calculator!AG45</f>
        <v>4A</v>
      </c>
      <c r="N40" s="120" t="str">
        <f>Calculator!AH45</f>
        <v>4B</v>
      </c>
      <c r="O40" s="120" t="str">
        <f>Calculator!AI45</f>
        <v>4C</v>
      </c>
      <c r="P40" s="120" t="str">
        <f>Calculator!AJ45</f>
        <v>5A</v>
      </c>
      <c r="Q40" s="120" t="str">
        <f>Calculator!AK45</f>
        <v>5B</v>
      </c>
      <c r="R40" s="120" t="str">
        <f>Calculator!AL45</f>
        <v>5C</v>
      </c>
      <c r="S40" s="120" t="str">
        <f>Calculator!AM45</f>
        <v>6A</v>
      </c>
      <c r="T40" s="120" t="str">
        <f>Calculator!AN45</f>
        <v>6B</v>
      </c>
      <c r="U40" s="120" t="str">
        <f>Calculator!AO45</f>
        <v>7</v>
      </c>
      <c r="V40" s="121" t="str">
        <f>Calculator!AP45</f>
        <v>8</v>
      </c>
      <c r="AD40" s="4"/>
      <c r="AE40" s="4"/>
      <c r="AF40" s="4"/>
      <c r="AG40" s="4"/>
      <c r="AT40" s="4"/>
    </row>
    <row r="41" spans="1:51" ht="12" customHeight="1" x14ac:dyDescent="0.35">
      <c r="B41" s="12"/>
      <c r="C41" s="13" t="str">
        <f>Calculator!W46</f>
        <v>Apartment</v>
      </c>
      <c r="D41" s="21">
        <f ca="1">Calculator!X46</f>
        <v>0.63</v>
      </c>
      <c r="E41" s="21">
        <f ca="1">Calculator!Y46</f>
        <v>0.59</v>
      </c>
      <c r="F41" s="21">
        <f ca="1">Calculator!Z46</f>
        <v>0.63</v>
      </c>
      <c r="G41" s="21">
        <f ca="1">Calculator!AA46</f>
        <v>0.61</v>
      </c>
      <c r="H41" s="21">
        <f ca="1">Calculator!AB46</f>
        <v>0.63</v>
      </c>
      <c r="I41" s="21">
        <f ca="1">Calculator!AC46</f>
        <v>0.61</v>
      </c>
      <c r="J41" s="21">
        <f ca="1">Calculator!AD46</f>
        <v>0.62</v>
      </c>
      <c r="K41" s="21">
        <f ca="1">Calculator!AE46</f>
        <v>0.62</v>
      </c>
      <c r="L41" s="21">
        <f ca="1">Calculator!AF46</f>
        <v>0.54</v>
      </c>
      <c r="M41" s="21">
        <f ca="1">Calculator!AG46</f>
        <v>0.55000000000000004</v>
      </c>
      <c r="N41" s="21">
        <f ca="1">Calculator!AH46</f>
        <v>0.6</v>
      </c>
      <c r="O41" s="21">
        <f ca="1">Calculator!AI46</f>
        <v>0.56999999999999995</v>
      </c>
      <c r="P41" s="21">
        <f ca="1">Calculator!AJ46</f>
        <v>0.52</v>
      </c>
      <c r="Q41" s="21">
        <f ca="1">Calculator!AK46</f>
        <v>0.56000000000000005</v>
      </c>
      <c r="R41" s="21">
        <f ca="1">Calculator!AL46</f>
        <v>0.57999999999999996</v>
      </c>
      <c r="S41" s="21">
        <f ca="1">Calculator!AM46</f>
        <v>0.5</v>
      </c>
      <c r="T41" s="21">
        <f ca="1">Calculator!AN46</f>
        <v>0.52</v>
      </c>
      <c r="U41" s="21">
        <f ca="1">Calculator!AO46</f>
        <v>0.51</v>
      </c>
      <c r="V41" s="22">
        <f ca="1">Calculator!AP46</f>
        <v>0.56000000000000005</v>
      </c>
    </row>
    <row r="42" spans="1:51" ht="12" customHeight="1" x14ac:dyDescent="0.35">
      <c r="B42" s="14"/>
      <c r="C42" s="15" t="str">
        <f>Calculator!W47</f>
        <v>Medical</v>
      </c>
      <c r="D42" s="23">
        <f ca="1">Calculator!X47</f>
        <v>0.54</v>
      </c>
      <c r="E42" s="23">
        <f ca="1">Calculator!Y47</f>
        <v>0.53</v>
      </c>
      <c r="F42" s="23">
        <f ca="1">Calculator!Z47</f>
        <v>0.53</v>
      </c>
      <c r="G42" s="23">
        <f ca="1">Calculator!AA47</f>
        <v>0.54</v>
      </c>
      <c r="H42" s="23">
        <f ca="1">Calculator!AB47</f>
        <v>0.54</v>
      </c>
      <c r="I42" s="23">
        <f ca="1">Calculator!AC47</f>
        <v>0.54</v>
      </c>
      <c r="J42" s="23">
        <f ca="1">Calculator!AD47</f>
        <v>0.53</v>
      </c>
      <c r="K42" s="23">
        <f ca="1">Calculator!AE47</f>
        <v>0.55000000000000004</v>
      </c>
      <c r="L42" s="23">
        <f ca="1">Calculator!AF47</f>
        <v>0.51</v>
      </c>
      <c r="M42" s="23">
        <f ca="1">Calculator!AG47</f>
        <v>0.5</v>
      </c>
      <c r="N42" s="23">
        <f ca="1">Calculator!AH47</f>
        <v>0.52</v>
      </c>
      <c r="O42" s="23">
        <f ca="1">Calculator!AI47</f>
        <v>0.51</v>
      </c>
      <c r="P42" s="23">
        <f ca="1">Calculator!AJ47</f>
        <v>0.5</v>
      </c>
      <c r="Q42" s="23">
        <f ca="1">Calculator!AK47</f>
        <v>0.51</v>
      </c>
      <c r="R42" s="23">
        <f ca="1">Calculator!AL47</f>
        <v>0.55000000000000004</v>
      </c>
      <c r="S42" s="23">
        <f ca="1">Calculator!AM47</f>
        <v>0.5</v>
      </c>
      <c r="T42" s="23">
        <f ca="1">Calculator!AN47</f>
        <v>0.53</v>
      </c>
      <c r="U42" s="23">
        <f ca="1">Calculator!AO47</f>
        <v>0.55000000000000004</v>
      </c>
      <c r="V42" s="24">
        <f ca="1">Calculator!AP47</f>
        <v>0.56999999999999995</v>
      </c>
    </row>
    <row r="43" spans="1:51" ht="12" customHeight="1" x14ac:dyDescent="0.35">
      <c r="B43" s="12"/>
      <c r="C43" s="13" t="str">
        <f>Calculator!W48</f>
        <v>Hotel</v>
      </c>
      <c r="D43" s="21">
        <f ca="1">Calculator!X48</f>
        <v>0.6</v>
      </c>
      <c r="E43" s="21">
        <f ca="1">Calculator!Y48</f>
        <v>0.59</v>
      </c>
      <c r="F43" s="21">
        <f ca="1">Calculator!Z48</f>
        <v>0.61</v>
      </c>
      <c r="G43" s="21">
        <f ca="1">Calculator!AA48</f>
        <v>0.59</v>
      </c>
      <c r="H43" s="21">
        <f ca="1">Calculator!AB48</f>
        <v>0.59</v>
      </c>
      <c r="I43" s="21">
        <f ca="1">Calculator!AC48</f>
        <v>0.57999999999999996</v>
      </c>
      <c r="J43" s="21">
        <f ca="1">Calculator!AD48</f>
        <v>0.59</v>
      </c>
      <c r="K43" s="21">
        <f ca="1">Calculator!AE48</f>
        <v>0.59</v>
      </c>
      <c r="L43" s="21">
        <f ca="1">Calculator!AF48</f>
        <v>0.59</v>
      </c>
      <c r="M43" s="21">
        <f ca="1">Calculator!AG48</f>
        <v>0.56999999999999995</v>
      </c>
      <c r="N43" s="21">
        <f ca="1">Calculator!AH48</f>
        <v>0.59</v>
      </c>
      <c r="O43" s="21">
        <f ca="1">Calculator!AI48</f>
        <v>0.57999999999999996</v>
      </c>
      <c r="P43" s="21">
        <f ca="1">Calculator!AJ48</f>
        <v>0.55000000000000004</v>
      </c>
      <c r="Q43" s="21">
        <f ca="1">Calculator!AK48</f>
        <v>0.57999999999999996</v>
      </c>
      <c r="R43" s="21">
        <f ca="1">Calculator!AL48</f>
        <v>0.59</v>
      </c>
      <c r="S43" s="21">
        <f ca="1">Calculator!AM48</f>
        <v>0.54</v>
      </c>
      <c r="T43" s="21">
        <f ca="1">Calculator!AN48</f>
        <v>0.56999999999999995</v>
      </c>
      <c r="U43" s="21">
        <f ca="1">Calculator!AO48</f>
        <v>0.55000000000000004</v>
      </c>
      <c r="V43" s="22">
        <f ca="1">Calculator!AP48</f>
        <v>0.56000000000000005</v>
      </c>
    </row>
    <row r="44" spans="1:51" ht="12" customHeight="1" x14ac:dyDescent="0.35">
      <c r="B44" s="14"/>
      <c r="C44" s="15" t="str">
        <f>Calculator!W49</f>
        <v>Office</v>
      </c>
      <c r="D44" s="23">
        <f ca="1">Calculator!X49</f>
        <v>0.43</v>
      </c>
      <c r="E44" s="23">
        <f ca="1">Calculator!Y49</f>
        <v>0.42</v>
      </c>
      <c r="F44" s="23">
        <f ca="1">Calculator!Z49</f>
        <v>0.4</v>
      </c>
      <c r="G44" s="23">
        <f ca="1">Calculator!AA49</f>
        <v>0.41</v>
      </c>
      <c r="H44" s="23">
        <f ca="1">Calculator!AB49</f>
        <v>0.37</v>
      </c>
      <c r="I44" s="23">
        <f ca="1">Calculator!AC49</f>
        <v>0.39</v>
      </c>
      <c r="J44" s="23">
        <f ca="1">Calculator!AD49</f>
        <v>0.37</v>
      </c>
      <c r="K44" s="23">
        <f ca="1">Calculator!AE49</f>
        <v>0.39</v>
      </c>
      <c r="L44" s="23">
        <f ca="1">Calculator!AF49</f>
        <v>0.35</v>
      </c>
      <c r="M44" s="23">
        <f ca="1">Calculator!AG49</f>
        <v>0.37</v>
      </c>
      <c r="N44" s="23">
        <f ca="1">Calculator!AH49</f>
        <v>0.38</v>
      </c>
      <c r="O44" s="23">
        <f ca="1">Calculator!AI49</f>
        <v>0.4</v>
      </c>
      <c r="P44" s="23">
        <f ca="1">Calculator!AJ49</f>
        <v>0.4</v>
      </c>
      <c r="Q44" s="23">
        <f ca="1">Calculator!AK49</f>
        <v>0.4</v>
      </c>
      <c r="R44" s="23">
        <f ca="1">Calculator!AL49</f>
        <v>0.41</v>
      </c>
      <c r="S44" s="23">
        <f ca="1">Calculator!AM49</f>
        <v>0.43</v>
      </c>
      <c r="T44" s="23">
        <f ca="1">Calculator!AN49</f>
        <v>0.41</v>
      </c>
      <c r="U44" s="23">
        <f ca="1">Calculator!AO49</f>
        <v>0.39</v>
      </c>
      <c r="V44" s="24">
        <f ca="1">Calculator!AP49</f>
        <v>0.43</v>
      </c>
    </row>
    <row r="45" spans="1:51" ht="12" customHeight="1" x14ac:dyDescent="0.35">
      <c r="B45" s="12"/>
      <c r="C45" s="13" t="str">
        <f>Calculator!W50</f>
        <v>Food.Svc</v>
      </c>
      <c r="D45" s="21">
        <f ca="1">Calculator!X50</f>
        <v>0.59</v>
      </c>
      <c r="E45" s="21">
        <f ca="1">Calculator!Y50</f>
        <v>0.56999999999999995</v>
      </c>
      <c r="F45" s="21">
        <f ca="1">Calculator!Z50</f>
        <v>0.59</v>
      </c>
      <c r="G45" s="21">
        <f ca="1">Calculator!AA50</f>
        <v>0.57999999999999996</v>
      </c>
      <c r="H45" s="21">
        <f ca="1">Calculator!AB50</f>
        <v>0.57999999999999996</v>
      </c>
      <c r="I45" s="21">
        <f ca="1">Calculator!AC50</f>
        <v>0.57999999999999996</v>
      </c>
      <c r="J45" s="21">
        <f ca="1">Calculator!AD50</f>
        <v>0.62</v>
      </c>
      <c r="K45" s="21">
        <f ca="1">Calculator!AE50</f>
        <v>0.64</v>
      </c>
      <c r="L45" s="21">
        <f ca="1">Calculator!AF50</f>
        <v>0.62</v>
      </c>
      <c r="M45" s="21">
        <f ca="1">Calculator!AG50</f>
        <v>0.71</v>
      </c>
      <c r="N45" s="21">
        <f ca="1">Calculator!AH50</f>
        <v>0.68</v>
      </c>
      <c r="O45" s="21">
        <f ca="1">Calculator!AI50</f>
        <v>0.73</v>
      </c>
      <c r="P45" s="21">
        <f ca="1">Calculator!AJ50</f>
        <v>0.74</v>
      </c>
      <c r="Q45" s="21">
        <f ca="1">Calculator!AK50</f>
        <v>0.71</v>
      </c>
      <c r="R45" s="21">
        <f ca="1">Calculator!AL50</f>
        <v>0.74</v>
      </c>
      <c r="S45" s="21">
        <f ca="1">Calculator!AM50</f>
        <v>0.75</v>
      </c>
      <c r="T45" s="21">
        <f ca="1">Calculator!AN50</f>
        <v>0.74</v>
      </c>
      <c r="U45" s="21">
        <f ca="1">Calculator!AO50</f>
        <v>0.76</v>
      </c>
      <c r="V45" s="22">
        <f ca="1">Calculator!AP50</f>
        <v>0.78</v>
      </c>
    </row>
    <row r="46" spans="1:51" ht="12" customHeight="1" x14ac:dyDescent="0.35">
      <c r="B46" s="14"/>
      <c r="C46" s="15" t="str">
        <f>Calculator!W51</f>
        <v>Retail</v>
      </c>
      <c r="D46" s="23">
        <f ca="1">Calculator!X51</f>
        <v>0.41</v>
      </c>
      <c r="E46" s="23">
        <f ca="1">Calculator!Y51</f>
        <v>0.4</v>
      </c>
      <c r="F46" s="23">
        <f ca="1">Calculator!Z51</f>
        <v>0.38</v>
      </c>
      <c r="G46" s="23">
        <f ca="1">Calculator!AA51</f>
        <v>0.39</v>
      </c>
      <c r="H46" s="23">
        <f ca="1">Calculator!AB51</f>
        <v>0.33</v>
      </c>
      <c r="I46" s="23">
        <f ca="1">Calculator!AC51</f>
        <v>0.34</v>
      </c>
      <c r="J46" s="23">
        <f ca="1">Calculator!AD51</f>
        <v>0.34</v>
      </c>
      <c r="K46" s="23">
        <f ca="1">Calculator!AE51</f>
        <v>0.36</v>
      </c>
      <c r="L46" s="23">
        <f ca="1">Calculator!AF51</f>
        <v>0.34</v>
      </c>
      <c r="M46" s="23">
        <f ca="1">Calculator!AG51</f>
        <v>0.38</v>
      </c>
      <c r="N46" s="23">
        <f ca="1">Calculator!AH51</f>
        <v>0.4</v>
      </c>
      <c r="O46" s="23">
        <f ca="1">Calculator!AI51</f>
        <v>0.43</v>
      </c>
      <c r="P46" s="23">
        <f ca="1">Calculator!AJ51</f>
        <v>0.42</v>
      </c>
      <c r="Q46" s="23">
        <f ca="1">Calculator!AK51</f>
        <v>0.43</v>
      </c>
      <c r="R46" s="23">
        <f ca="1">Calculator!AL51</f>
        <v>0.46</v>
      </c>
      <c r="S46" s="23">
        <f ca="1">Calculator!AM51</f>
        <v>0.43</v>
      </c>
      <c r="T46" s="23">
        <f ca="1">Calculator!AN51</f>
        <v>0.43</v>
      </c>
      <c r="U46" s="23">
        <f ca="1">Calculator!AO51</f>
        <v>0.46</v>
      </c>
      <c r="V46" s="24">
        <f ca="1">Calculator!AP51</f>
        <v>0.5</v>
      </c>
    </row>
    <row r="47" spans="1:51" ht="12" customHeight="1" x14ac:dyDescent="0.35">
      <c r="B47" s="12"/>
      <c r="C47" s="13" t="str">
        <f>Calculator!W52</f>
        <v>School</v>
      </c>
      <c r="D47" s="21">
        <f ca="1">Calculator!X52</f>
        <v>0.45</v>
      </c>
      <c r="E47" s="21">
        <f ca="1">Calculator!Y52</f>
        <v>0.45</v>
      </c>
      <c r="F47" s="21">
        <f ca="1">Calculator!Z52</f>
        <v>0.43</v>
      </c>
      <c r="G47" s="21">
        <f ca="1">Calculator!AA52</f>
        <v>0.44</v>
      </c>
      <c r="H47" s="21">
        <f ca="1">Calculator!AB52</f>
        <v>0.42</v>
      </c>
      <c r="I47" s="21">
        <f ca="1">Calculator!AC52</f>
        <v>0.44</v>
      </c>
      <c r="J47" s="21">
        <f ca="1">Calculator!AD52</f>
        <v>0.44</v>
      </c>
      <c r="K47" s="21">
        <f ca="1">Calculator!AE52</f>
        <v>0.42</v>
      </c>
      <c r="L47" s="21">
        <f ca="1">Calculator!AF52</f>
        <v>0.4</v>
      </c>
      <c r="M47" s="21">
        <f ca="1">Calculator!AG52</f>
        <v>0.36</v>
      </c>
      <c r="N47" s="21">
        <f ca="1">Calculator!AH52</f>
        <v>0.42</v>
      </c>
      <c r="O47" s="21">
        <f ca="1">Calculator!AI52</f>
        <v>0.44</v>
      </c>
      <c r="P47" s="21">
        <f ca="1">Calculator!AJ52</f>
        <v>0.39</v>
      </c>
      <c r="Q47" s="21">
        <f ca="1">Calculator!AK52</f>
        <v>0.44</v>
      </c>
      <c r="R47" s="21">
        <f ca="1">Calculator!AL52</f>
        <v>0.43</v>
      </c>
      <c r="S47" s="21">
        <f ca="1">Calculator!AM52</f>
        <v>0.39</v>
      </c>
      <c r="T47" s="21">
        <f ca="1">Calculator!AN52</f>
        <v>0.38</v>
      </c>
      <c r="U47" s="21">
        <f ca="1">Calculator!AO52</f>
        <v>0.39</v>
      </c>
      <c r="V47" s="22">
        <f ca="1">Calculator!AP52</f>
        <v>0.44</v>
      </c>
    </row>
    <row r="48" spans="1:51" ht="12" customHeight="1" x14ac:dyDescent="0.35">
      <c r="B48" s="14"/>
      <c r="C48" s="15" t="str">
        <f>Calculator!W53</f>
        <v>Warehouse</v>
      </c>
      <c r="D48" s="23">
        <f ca="1">Calculator!X53</f>
        <v>0.24</v>
      </c>
      <c r="E48" s="23">
        <f ca="1">Calculator!Y53</f>
        <v>0.25</v>
      </c>
      <c r="F48" s="23">
        <f ca="1">Calculator!Z53</f>
        <v>0.21</v>
      </c>
      <c r="G48" s="23">
        <f ca="1">Calculator!AA53</f>
        <v>0.24</v>
      </c>
      <c r="H48" s="23">
        <f ca="1">Calculator!AB53</f>
        <v>0.2</v>
      </c>
      <c r="I48" s="23">
        <f ca="1">Calculator!AC53</f>
        <v>0.21</v>
      </c>
      <c r="J48" s="23">
        <f ca="1">Calculator!AD53</f>
        <v>0.24</v>
      </c>
      <c r="K48" s="23">
        <f ca="1">Calculator!AE53</f>
        <v>0.22</v>
      </c>
      <c r="L48" s="23">
        <f ca="1">Calculator!AF53</f>
        <v>0.18</v>
      </c>
      <c r="M48" s="23">
        <f ca="1">Calculator!AG53</f>
        <v>0.38</v>
      </c>
      <c r="N48" s="23">
        <f ca="1">Calculator!AH53</f>
        <v>0.27</v>
      </c>
      <c r="O48" s="23">
        <f ca="1">Calculator!AI53</f>
        <v>0.31</v>
      </c>
      <c r="P48" s="23">
        <f ca="1">Calculator!AJ53</f>
        <v>0.47</v>
      </c>
      <c r="Q48" s="23">
        <f ca="1">Calculator!AK53</f>
        <v>0.37</v>
      </c>
      <c r="R48" s="23">
        <f ca="1">Calculator!AL53</f>
        <v>0.31</v>
      </c>
      <c r="S48" s="23">
        <f ca="1">Calculator!AM53</f>
        <v>0.5</v>
      </c>
      <c r="T48" s="23">
        <f ca="1">Calculator!AN53</f>
        <v>0.44</v>
      </c>
      <c r="U48" s="23">
        <f ca="1">Calculator!AO53</f>
        <v>0.43</v>
      </c>
      <c r="V48" s="24">
        <f ca="1">Calculator!AP53</f>
        <v>0.48</v>
      </c>
    </row>
    <row r="49" spans="2:22" ht="12" customHeight="1" x14ac:dyDescent="0.35">
      <c r="B49" s="16"/>
      <c r="C49" s="17" t="str">
        <f>Calculator!W54</f>
        <v>Other</v>
      </c>
      <c r="D49" s="25">
        <f ca="1">Calculator!X54</f>
        <v>0.54</v>
      </c>
      <c r="E49" s="25">
        <f ca="1">Calculator!Y54</f>
        <v>0.52</v>
      </c>
      <c r="F49" s="25">
        <f ca="1">Calculator!Z54</f>
        <v>0.52</v>
      </c>
      <c r="G49" s="25">
        <f ca="1">Calculator!AA54</f>
        <v>0.52</v>
      </c>
      <c r="H49" s="25">
        <f ca="1">Calculator!AB54</f>
        <v>0.45</v>
      </c>
      <c r="I49" s="25">
        <f ca="1">Calculator!AC54</f>
        <v>0.43</v>
      </c>
      <c r="J49" s="25">
        <f ca="1">Calculator!AD54</f>
        <v>0.45</v>
      </c>
      <c r="K49" s="25">
        <f ca="1">Calculator!AE54</f>
        <v>0.46</v>
      </c>
      <c r="L49" s="25">
        <f ca="1">Calculator!AF54</f>
        <v>0.46</v>
      </c>
      <c r="M49" s="25">
        <f ca="1">Calculator!AG54</f>
        <v>0.46</v>
      </c>
      <c r="N49" s="25">
        <f ca="1">Calculator!AH54</f>
        <v>0.46</v>
      </c>
      <c r="O49" s="25">
        <f ca="1">Calculator!AI54</f>
        <v>0.5</v>
      </c>
      <c r="P49" s="25">
        <f ca="1">Calculator!AJ54</f>
        <v>0.48</v>
      </c>
      <c r="Q49" s="25">
        <f ca="1">Calculator!AK54</f>
        <v>0.49</v>
      </c>
      <c r="R49" s="25">
        <f ca="1">Calculator!AL54</f>
        <v>0.51</v>
      </c>
      <c r="S49" s="25">
        <f ca="1">Calculator!AM54</f>
        <v>0.48</v>
      </c>
      <c r="T49" s="25">
        <f ca="1">Calculator!AN54</f>
        <v>0.48</v>
      </c>
      <c r="U49" s="25">
        <f ca="1">Calculator!AO54</f>
        <v>0.49</v>
      </c>
      <c r="V49" s="26">
        <f ca="1">Calculator!AP54</f>
        <v>0.53</v>
      </c>
    </row>
    <row r="50" spans="2:22" x14ac:dyDescent="0.35">
      <c r="B50" s="9"/>
      <c r="C50" s="9"/>
      <c r="D50" s="9"/>
      <c r="E50" s="9"/>
      <c r="F50" s="9"/>
      <c r="G50" s="9"/>
      <c r="H50" s="9"/>
      <c r="I50" s="9"/>
      <c r="J50" s="9"/>
      <c r="K50" s="9"/>
      <c r="L50" s="9"/>
      <c r="M50" s="9"/>
      <c r="N50" s="9"/>
      <c r="O50" s="9"/>
      <c r="P50" s="9"/>
      <c r="Q50" s="9"/>
      <c r="R50" s="9"/>
      <c r="S50" s="9"/>
      <c r="T50" s="9"/>
      <c r="U50" s="9"/>
      <c r="V50" s="9"/>
    </row>
    <row r="51" spans="2:22" x14ac:dyDescent="0.35">
      <c r="B51" s="97"/>
      <c r="C51" s="98" t="str">
        <f>Calculator!W56</f>
        <v>BPF_Site</v>
      </c>
      <c r="D51" s="98"/>
      <c r="E51" s="98"/>
      <c r="F51" s="98"/>
      <c r="G51" s="98"/>
      <c r="H51" s="98"/>
      <c r="I51" s="98"/>
      <c r="J51" s="98"/>
      <c r="K51" s="98"/>
      <c r="L51" s="98"/>
      <c r="M51" s="98"/>
      <c r="N51" s="98"/>
      <c r="O51" s="98"/>
      <c r="P51" s="98"/>
      <c r="Q51" s="98"/>
      <c r="R51" s="98"/>
      <c r="S51" s="98"/>
      <c r="T51" s="98"/>
      <c r="U51" s="98"/>
      <c r="V51" s="99"/>
    </row>
    <row r="52" spans="2:22" x14ac:dyDescent="0.35">
      <c r="B52" s="104"/>
      <c r="C52" s="105" t="str">
        <f>Calculator!W57</f>
        <v>Group</v>
      </c>
      <c r="D52" s="106" t="str">
        <f>Calculator!X57</f>
        <v>0A</v>
      </c>
      <c r="E52" s="106" t="str">
        <f>Calculator!Y57</f>
        <v>0B</v>
      </c>
      <c r="F52" s="106" t="str">
        <f>Calculator!Z57</f>
        <v>1A</v>
      </c>
      <c r="G52" s="106" t="str">
        <f>Calculator!AA57</f>
        <v>1B</v>
      </c>
      <c r="H52" s="106" t="str">
        <f>Calculator!AB57</f>
        <v>2A</v>
      </c>
      <c r="I52" s="106" t="str">
        <f>Calculator!AC57</f>
        <v>2B</v>
      </c>
      <c r="J52" s="106" t="str">
        <f>Calculator!AD57</f>
        <v>3A</v>
      </c>
      <c r="K52" s="106" t="str">
        <f>Calculator!AE57</f>
        <v>3B</v>
      </c>
      <c r="L52" s="106" t="str">
        <f>Calculator!AF57</f>
        <v>3C</v>
      </c>
      <c r="M52" s="106" t="str">
        <f>Calculator!AG57</f>
        <v>4A</v>
      </c>
      <c r="N52" s="106" t="str">
        <f>Calculator!AH57</f>
        <v>4B</v>
      </c>
      <c r="O52" s="106" t="str">
        <f>Calculator!AI57</f>
        <v>4C</v>
      </c>
      <c r="P52" s="106" t="str">
        <f>Calculator!AJ57</f>
        <v>5A</v>
      </c>
      <c r="Q52" s="106" t="str">
        <f>Calculator!AK57</f>
        <v>5B</v>
      </c>
      <c r="R52" s="106" t="str">
        <f>Calculator!AL57</f>
        <v>5C</v>
      </c>
      <c r="S52" s="106" t="str">
        <f>Calculator!AM57</f>
        <v>6A</v>
      </c>
      <c r="T52" s="106" t="str">
        <f>Calculator!AN57</f>
        <v>6B</v>
      </c>
      <c r="U52" s="106" t="str">
        <f>Calculator!AO57</f>
        <v>7</v>
      </c>
      <c r="V52" s="107" t="str">
        <f>Calculator!AP57</f>
        <v>8</v>
      </c>
    </row>
    <row r="53" spans="2:22" ht="12" customHeight="1" x14ac:dyDescent="0.35">
      <c r="B53" s="12"/>
      <c r="C53" s="13" t="str">
        <f>Calculator!W58</f>
        <v>Apartment</v>
      </c>
      <c r="D53" s="21">
        <f>Calculator!X58</f>
        <v>0.63</v>
      </c>
      <c r="E53" s="21">
        <f>Calculator!Y58</f>
        <v>0.59</v>
      </c>
      <c r="F53" s="21">
        <f>Calculator!Z58</f>
        <v>0.63</v>
      </c>
      <c r="G53" s="21">
        <f>Calculator!AA58</f>
        <v>0.6</v>
      </c>
      <c r="H53" s="21">
        <f>Calculator!AB58</f>
        <v>0.62</v>
      </c>
      <c r="I53" s="21">
        <f>Calculator!AC58</f>
        <v>0.61</v>
      </c>
      <c r="J53" s="21">
        <f>Calculator!AD58</f>
        <v>0.62</v>
      </c>
      <c r="K53" s="21">
        <f>Calculator!AE58</f>
        <v>0.61</v>
      </c>
      <c r="L53" s="21">
        <f>Calculator!AF58</f>
        <v>0.54</v>
      </c>
      <c r="M53" s="21">
        <f>Calculator!AG58</f>
        <v>0.55000000000000004</v>
      </c>
      <c r="N53" s="21">
        <f>Calculator!AH58</f>
        <v>0.6</v>
      </c>
      <c r="O53" s="21">
        <f>Calculator!AI58</f>
        <v>0.56999999999999995</v>
      </c>
      <c r="P53" s="21">
        <f>Calculator!AJ58</f>
        <v>0.52</v>
      </c>
      <c r="Q53" s="21">
        <f>Calculator!AK58</f>
        <v>0.56000000000000005</v>
      </c>
      <c r="R53" s="21">
        <f>Calculator!AL58</f>
        <v>0.56999999999999995</v>
      </c>
      <c r="S53" s="21">
        <f>Calculator!AM58</f>
        <v>0.5</v>
      </c>
      <c r="T53" s="21">
        <f>Calculator!AN58</f>
        <v>0.52</v>
      </c>
      <c r="U53" s="21">
        <f>Calculator!AO58</f>
        <v>0.51</v>
      </c>
      <c r="V53" s="22">
        <f>Calculator!AP58</f>
        <v>0.56000000000000005</v>
      </c>
    </row>
    <row r="54" spans="2:22" ht="12" customHeight="1" x14ac:dyDescent="0.35">
      <c r="B54" s="14"/>
      <c r="C54" s="15" t="str">
        <f>Calculator!W59</f>
        <v>Medical</v>
      </c>
      <c r="D54" s="23">
        <f>Calculator!X59</f>
        <v>0.55000000000000004</v>
      </c>
      <c r="E54" s="23">
        <f>Calculator!Y59</f>
        <v>0.53</v>
      </c>
      <c r="F54" s="23">
        <f>Calculator!Z59</f>
        <v>0.53</v>
      </c>
      <c r="G54" s="23">
        <f>Calculator!AA59</f>
        <v>0.54</v>
      </c>
      <c r="H54" s="23">
        <f>Calculator!AB59</f>
        <v>0.54</v>
      </c>
      <c r="I54" s="23">
        <f>Calculator!AC59</f>
        <v>0.55000000000000004</v>
      </c>
      <c r="J54" s="23">
        <f>Calculator!AD59</f>
        <v>0.53</v>
      </c>
      <c r="K54" s="23">
        <f>Calculator!AE59</f>
        <v>0.55000000000000004</v>
      </c>
      <c r="L54" s="23">
        <f>Calculator!AF59</f>
        <v>0.51</v>
      </c>
      <c r="M54" s="23">
        <f>Calculator!AG59</f>
        <v>0.51</v>
      </c>
      <c r="N54" s="23">
        <f>Calculator!AH59</f>
        <v>0.53</v>
      </c>
      <c r="O54" s="23">
        <f>Calculator!AI59</f>
        <v>0.51</v>
      </c>
      <c r="P54" s="23">
        <f>Calculator!AJ59</f>
        <v>0.51</v>
      </c>
      <c r="Q54" s="23">
        <f>Calculator!AK59</f>
        <v>0.51</v>
      </c>
      <c r="R54" s="23">
        <f>Calculator!AL59</f>
        <v>0.55000000000000004</v>
      </c>
      <c r="S54" s="23">
        <f>Calculator!AM59</f>
        <v>0.5</v>
      </c>
      <c r="T54" s="23">
        <f>Calculator!AN59</f>
        <v>0.53</v>
      </c>
      <c r="U54" s="23">
        <f>Calculator!AO59</f>
        <v>0.55000000000000004</v>
      </c>
      <c r="V54" s="24">
        <f>Calculator!AP59</f>
        <v>0.56999999999999995</v>
      </c>
    </row>
    <row r="55" spans="2:22" ht="12" customHeight="1" x14ac:dyDescent="0.35">
      <c r="B55" s="12"/>
      <c r="C55" s="13" t="str">
        <f>Calculator!W60</f>
        <v>Hotel</v>
      </c>
      <c r="D55" s="21">
        <f>Calculator!X60</f>
        <v>0.6</v>
      </c>
      <c r="E55" s="21">
        <f>Calculator!Y60</f>
        <v>0.59</v>
      </c>
      <c r="F55" s="21">
        <f>Calculator!Z60</f>
        <v>0.6</v>
      </c>
      <c r="G55" s="21">
        <f>Calculator!AA60</f>
        <v>0.59</v>
      </c>
      <c r="H55" s="21">
        <f>Calculator!AB60</f>
        <v>0.59</v>
      </c>
      <c r="I55" s="21">
        <f>Calculator!AC60</f>
        <v>0.57999999999999996</v>
      </c>
      <c r="J55" s="21">
        <f>Calculator!AD60</f>
        <v>0.57999999999999996</v>
      </c>
      <c r="K55" s="21">
        <f>Calculator!AE60</f>
        <v>0.59</v>
      </c>
      <c r="L55" s="21">
        <f>Calculator!AF60</f>
        <v>0.57999999999999996</v>
      </c>
      <c r="M55" s="21">
        <f>Calculator!AG60</f>
        <v>0.56000000000000005</v>
      </c>
      <c r="N55" s="21">
        <f>Calculator!AH60</f>
        <v>0.57999999999999996</v>
      </c>
      <c r="O55" s="21">
        <f>Calculator!AI60</f>
        <v>0.57999999999999996</v>
      </c>
      <c r="P55" s="21">
        <f>Calculator!AJ60</f>
        <v>0.54</v>
      </c>
      <c r="Q55" s="21">
        <f>Calculator!AK60</f>
        <v>0.56999999999999995</v>
      </c>
      <c r="R55" s="21">
        <f>Calculator!AL60</f>
        <v>0.59</v>
      </c>
      <c r="S55" s="21">
        <f>Calculator!AM60</f>
        <v>0.54</v>
      </c>
      <c r="T55" s="21">
        <f>Calculator!AN60</f>
        <v>0.56999999999999995</v>
      </c>
      <c r="U55" s="21">
        <f>Calculator!AO60</f>
        <v>0.55000000000000004</v>
      </c>
      <c r="V55" s="22">
        <f>Calculator!AP60</f>
        <v>0.55000000000000004</v>
      </c>
    </row>
    <row r="56" spans="2:22" ht="12" customHeight="1" x14ac:dyDescent="0.35">
      <c r="B56" s="14"/>
      <c r="C56" s="15" t="str">
        <f>Calculator!W61</f>
        <v>Office</v>
      </c>
      <c r="D56" s="23">
        <f>Calculator!X61</f>
        <v>0.43</v>
      </c>
      <c r="E56" s="23">
        <f>Calculator!Y61</f>
        <v>0.42</v>
      </c>
      <c r="F56" s="23">
        <f>Calculator!Z61</f>
        <v>0.4</v>
      </c>
      <c r="G56" s="23">
        <f>Calculator!AA61</f>
        <v>0.41</v>
      </c>
      <c r="H56" s="23">
        <f>Calculator!AB61</f>
        <v>0.37</v>
      </c>
      <c r="I56" s="23">
        <f>Calculator!AC61</f>
        <v>0.39</v>
      </c>
      <c r="J56" s="23">
        <f>Calculator!AD61</f>
        <v>0.37</v>
      </c>
      <c r="K56" s="23">
        <f>Calculator!AE61</f>
        <v>0.39</v>
      </c>
      <c r="L56" s="23">
        <f>Calculator!AF61</f>
        <v>0.35</v>
      </c>
      <c r="M56" s="23">
        <f>Calculator!AG61</f>
        <v>0.37</v>
      </c>
      <c r="N56" s="23">
        <f>Calculator!AH61</f>
        <v>0.38</v>
      </c>
      <c r="O56" s="23">
        <f>Calculator!AI61</f>
        <v>0.4</v>
      </c>
      <c r="P56" s="23">
        <f>Calculator!AJ61</f>
        <v>0.4</v>
      </c>
      <c r="Q56" s="23">
        <f>Calculator!AK61</f>
        <v>0.4</v>
      </c>
      <c r="R56" s="23">
        <f>Calculator!AL61</f>
        <v>0.41</v>
      </c>
      <c r="S56" s="23">
        <f>Calculator!AM61</f>
        <v>0.43</v>
      </c>
      <c r="T56" s="23">
        <f>Calculator!AN61</f>
        <v>0.41</v>
      </c>
      <c r="U56" s="23">
        <f>Calculator!AO61</f>
        <v>0.39</v>
      </c>
      <c r="V56" s="24">
        <f>Calculator!AP61</f>
        <v>0.43</v>
      </c>
    </row>
    <row r="57" spans="2:22" ht="12" customHeight="1" x14ac:dyDescent="0.35">
      <c r="B57" s="12"/>
      <c r="C57" s="13" t="str">
        <f>Calculator!W62</f>
        <v>Food.Svc</v>
      </c>
      <c r="D57" s="21">
        <f>Calculator!X62</f>
        <v>0.59</v>
      </c>
      <c r="E57" s="21">
        <f>Calculator!Y62</f>
        <v>0.56999999999999995</v>
      </c>
      <c r="F57" s="21">
        <f>Calculator!Z62</f>
        <v>0.57999999999999996</v>
      </c>
      <c r="G57" s="21">
        <f>Calculator!AA62</f>
        <v>0.57999999999999996</v>
      </c>
      <c r="H57" s="21">
        <f>Calculator!AB62</f>
        <v>0.57999999999999996</v>
      </c>
      <c r="I57" s="21">
        <f>Calculator!AC62</f>
        <v>0.57999999999999996</v>
      </c>
      <c r="J57" s="21">
        <f>Calculator!AD62</f>
        <v>0.62</v>
      </c>
      <c r="K57" s="21">
        <f>Calculator!AE62</f>
        <v>0.64</v>
      </c>
      <c r="L57" s="21">
        <f>Calculator!AF62</f>
        <v>0.62</v>
      </c>
      <c r="M57" s="21">
        <f>Calculator!AG62</f>
        <v>0.71</v>
      </c>
      <c r="N57" s="21">
        <f>Calculator!AH62</f>
        <v>0.68</v>
      </c>
      <c r="O57" s="21">
        <f>Calculator!AI62</f>
        <v>0.72</v>
      </c>
      <c r="P57" s="21">
        <f>Calculator!AJ62</f>
        <v>0.74</v>
      </c>
      <c r="Q57" s="21">
        <f>Calculator!AK62</f>
        <v>0.71</v>
      </c>
      <c r="R57" s="21">
        <f>Calculator!AL62</f>
        <v>0.74</v>
      </c>
      <c r="S57" s="21">
        <f>Calculator!AM62</f>
        <v>0.74</v>
      </c>
      <c r="T57" s="21">
        <f>Calculator!AN62</f>
        <v>0.73</v>
      </c>
      <c r="U57" s="21">
        <f>Calculator!AO62</f>
        <v>0.76</v>
      </c>
      <c r="V57" s="22">
        <f>Calculator!AP62</f>
        <v>0.78</v>
      </c>
    </row>
    <row r="58" spans="2:22" ht="12" customHeight="1" x14ac:dyDescent="0.35">
      <c r="B58" s="14"/>
      <c r="C58" s="15" t="str">
        <f>Calculator!W63</f>
        <v>Retail</v>
      </c>
      <c r="D58" s="23">
        <f>Calculator!X63</f>
        <v>0.41</v>
      </c>
      <c r="E58" s="23">
        <f>Calculator!Y63</f>
        <v>0.4</v>
      </c>
      <c r="F58" s="23">
        <f>Calculator!Z63</f>
        <v>0.38</v>
      </c>
      <c r="G58" s="23">
        <f>Calculator!AA63</f>
        <v>0.39</v>
      </c>
      <c r="H58" s="23">
        <f>Calculator!AB63</f>
        <v>0.33</v>
      </c>
      <c r="I58" s="23">
        <f>Calculator!AC63</f>
        <v>0.34</v>
      </c>
      <c r="J58" s="23">
        <f>Calculator!AD63</f>
        <v>0.34</v>
      </c>
      <c r="K58" s="23">
        <f>Calculator!AE63</f>
        <v>0.36</v>
      </c>
      <c r="L58" s="23">
        <f>Calculator!AF63</f>
        <v>0.34</v>
      </c>
      <c r="M58" s="23">
        <f>Calculator!AG63</f>
        <v>0.38</v>
      </c>
      <c r="N58" s="23">
        <f>Calculator!AH63</f>
        <v>0.4</v>
      </c>
      <c r="O58" s="23">
        <f>Calculator!AI63</f>
        <v>0.43</v>
      </c>
      <c r="P58" s="23">
        <f>Calculator!AJ63</f>
        <v>0.42</v>
      </c>
      <c r="Q58" s="23">
        <f>Calculator!AK63</f>
        <v>0.42</v>
      </c>
      <c r="R58" s="23">
        <f>Calculator!AL63</f>
        <v>0.45</v>
      </c>
      <c r="S58" s="23">
        <f>Calculator!AM63</f>
        <v>0.43</v>
      </c>
      <c r="T58" s="23">
        <f>Calculator!AN63</f>
        <v>0.43</v>
      </c>
      <c r="U58" s="23">
        <f>Calculator!AO63</f>
        <v>0.46</v>
      </c>
      <c r="V58" s="24">
        <f>Calculator!AP63</f>
        <v>0.5</v>
      </c>
    </row>
    <row r="59" spans="2:22" ht="12" customHeight="1" x14ac:dyDescent="0.35">
      <c r="B59" s="12"/>
      <c r="C59" s="13" t="str">
        <f>Calculator!W64</f>
        <v>School</v>
      </c>
      <c r="D59" s="21">
        <f>Calculator!X64</f>
        <v>0.45</v>
      </c>
      <c r="E59" s="21">
        <f>Calculator!Y64</f>
        <v>0.45</v>
      </c>
      <c r="F59" s="21">
        <f>Calculator!Z64</f>
        <v>0.43</v>
      </c>
      <c r="G59" s="21">
        <f>Calculator!AA64</f>
        <v>0.44</v>
      </c>
      <c r="H59" s="21">
        <f>Calculator!AB64</f>
        <v>0.42</v>
      </c>
      <c r="I59" s="21">
        <f>Calculator!AC64</f>
        <v>0.44</v>
      </c>
      <c r="J59" s="21">
        <f>Calculator!AD64</f>
        <v>0.44</v>
      </c>
      <c r="K59" s="21">
        <f>Calculator!AE64</f>
        <v>0.42</v>
      </c>
      <c r="L59" s="21">
        <f>Calculator!AF64</f>
        <v>0.39</v>
      </c>
      <c r="M59" s="21">
        <f>Calculator!AG64</f>
        <v>0.36</v>
      </c>
      <c r="N59" s="21">
        <f>Calculator!AH64</f>
        <v>0.41</v>
      </c>
      <c r="O59" s="21">
        <f>Calculator!AI64</f>
        <v>0.44</v>
      </c>
      <c r="P59" s="21">
        <f>Calculator!AJ64</f>
        <v>0.39</v>
      </c>
      <c r="Q59" s="21">
        <f>Calculator!AK64</f>
        <v>0.44</v>
      </c>
      <c r="R59" s="21">
        <f>Calculator!AL64</f>
        <v>0.43</v>
      </c>
      <c r="S59" s="21">
        <f>Calculator!AM64</f>
        <v>0.39</v>
      </c>
      <c r="T59" s="21">
        <f>Calculator!AN64</f>
        <v>0.38</v>
      </c>
      <c r="U59" s="21">
        <f>Calculator!AO64</f>
        <v>0.39</v>
      </c>
      <c r="V59" s="22">
        <f>Calculator!AP64</f>
        <v>0.44</v>
      </c>
    </row>
    <row r="60" spans="2:22" ht="12" customHeight="1" x14ac:dyDescent="0.35">
      <c r="B60" s="14"/>
      <c r="C60" s="15" t="str">
        <f>Calculator!W65</f>
        <v>Warehouse</v>
      </c>
      <c r="D60" s="23">
        <f>Calculator!X65</f>
        <v>0.24</v>
      </c>
      <c r="E60" s="23">
        <f>Calculator!Y65</f>
        <v>0.25</v>
      </c>
      <c r="F60" s="23">
        <f>Calculator!Z65</f>
        <v>0.21</v>
      </c>
      <c r="G60" s="23">
        <f>Calculator!AA65</f>
        <v>0.24</v>
      </c>
      <c r="H60" s="23">
        <f>Calculator!AB65</f>
        <v>0.2</v>
      </c>
      <c r="I60" s="23">
        <f>Calculator!AC65</f>
        <v>0.21</v>
      </c>
      <c r="J60" s="23">
        <f>Calculator!AD65</f>
        <v>0.24</v>
      </c>
      <c r="K60" s="23">
        <f>Calculator!AE65</f>
        <v>0.22</v>
      </c>
      <c r="L60" s="23">
        <f>Calculator!AF65</f>
        <v>0.18</v>
      </c>
      <c r="M60" s="23">
        <f>Calculator!AG65</f>
        <v>0.37</v>
      </c>
      <c r="N60" s="23">
        <f>Calculator!AH65</f>
        <v>0.27</v>
      </c>
      <c r="O60" s="23">
        <f>Calculator!AI65</f>
        <v>0.31</v>
      </c>
      <c r="P60" s="23">
        <f>Calculator!AJ65</f>
        <v>0.46</v>
      </c>
      <c r="Q60" s="23">
        <f>Calculator!AK65</f>
        <v>0.36</v>
      </c>
      <c r="R60" s="23">
        <f>Calculator!AL65</f>
        <v>0.31</v>
      </c>
      <c r="S60" s="23">
        <f>Calculator!AM65</f>
        <v>0.49</v>
      </c>
      <c r="T60" s="23">
        <f>Calculator!AN65</f>
        <v>0.43</v>
      </c>
      <c r="U60" s="23">
        <f>Calculator!AO65</f>
        <v>0.43</v>
      </c>
      <c r="V60" s="24">
        <f>Calculator!AP65</f>
        <v>0.47</v>
      </c>
    </row>
    <row r="61" spans="2:22" ht="12" customHeight="1" x14ac:dyDescent="0.35">
      <c r="B61" s="16"/>
      <c r="C61" s="17" t="str">
        <f>Calculator!W66</f>
        <v>Other</v>
      </c>
      <c r="D61" s="25">
        <f>Calculator!X66</f>
        <v>0.54</v>
      </c>
      <c r="E61" s="25">
        <f>Calculator!Y66</f>
        <v>0.52</v>
      </c>
      <c r="F61" s="25">
        <f>Calculator!Z66</f>
        <v>0.52</v>
      </c>
      <c r="G61" s="25">
        <f>Calculator!AA66</f>
        <v>0.52</v>
      </c>
      <c r="H61" s="25">
        <f>Calculator!AB66</f>
        <v>0.45</v>
      </c>
      <c r="I61" s="25">
        <f>Calculator!AC66</f>
        <v>0.43</v>
      </c>
      <c r="J61" s="25">
        <f>Calculator!AD66</f>
        <v>0.45</v>
      </c>
      <c r="K61" s="25">
        <f>Calculator!AE66</f>
        <v>0.46</v>
      </c>
      <c r="L61" s="25">
        <f>Calculator!AF66</f>
        <v>0.45</v>
      </c>
      <c r="M61" s="25">
        <f>Calculator!AG66</f>
        <v>0.46</v>
      </c>
      <c r="N61" s="25">
        <f>Calculator!AH66</f>
        <v>0.46</v>
      </c>
      <c r="O61" s="25">
        <f>Calculator!AI66</f>
        <v>0.49</v>
      </c>
      <c r="P61" s="25">
        <f>Calculator!AJ66</f>
        <v>0.47</v>
      </c>
      <c r="Q61" s="25">
        <f>Calculator!AK66</f>
        <v>0.48</v>
      </c>
      <c r="R61" s="25">
        <f>Calculator!AL66</f>
        <v>0.51</v>
      </c>
      <c r="S61" s="25">
        <f>Calculator!AM66</f>
        <v>0.48</v>
      </c>
      <c r="T61" s="25">
        <f>Calculator!AN66</f>
        <v>0.48</v>
      </c>
      <c r="U61" s="25">
        <f>Calculator!AO66</f>
        <v>0.49</v>
      </c>
      <c r="V61" s="26">
        <f>Calculator!AP66</f>
        <v>0.53</v>
      </c>
    </row>
    <row r="62" spans="2:22" x14ac:dyDescent="0.35">
      <c r="D62" s="3"/>
      <c r="E62" s="3"/>
      <c r="F62" s="3"/>
      <c r="G62" s="3"/>
      <c r="H62" s="3"/>
      <c r="I62" s="3"/>
      <c r="J62" s="3"/>
      <c r="K62" s="3"/>
      <c r="L62" s="3"/>
      <c r="M62" s="3"/>
      <c r="N62" s="3"/>
      <c r="O62" s="3"/>
      <c r="P62" s="3"/>
      <c r="Q62" s="3"/>
      <c r="R62" s="3"/>
      <c r="S62" s="3"/>
      <c r="T62" s="3"/>
      <c r="U62" s="3"/>
      <c r="V62" s="3"/>
    </row>
    <row r="65" customFormat="1" hidden="1" x14ac:dyDescent="0.35"/>
    <row r="66" customFormat="1" hidden="1" x14ac:dyDescent="0.35"/>
    <row r="67" customFormat="1" hidden="1" x14ac:dyDescent="0.35"/>
    <row r="68" customFormat="1" hidden="1" x14ac:dyDescent="0.35"/>
    <row r="69" customFormat="1" hidden="1" x14ac:dyDescent="0.35"/>
    <row r="70" customFormat="1" hidden="1" x14ac:dyDescent="0.35"/>
    <row r="71" customFormat="1" hidden="1" x14ac:dyDescent="0.35"/>
    <row r="72" customFormat="1" hidden="1" x14ac:dyDescent="0.35"/>
    <row r="73" customFormat="1" hidden="1" x14ac:dyDescent="0.35"/>
    <row r="74" customFormat="1" hidden="1" x14ac:dyDescent="0.35"/>
    <row r="75" customFormat="1" hidden="1" x14ac:dyDescent="0.35"/>
    <row r="76" customFormat="1" hidden="1" x14ac:dyDescent="0.35"/>
    <row r="77" customFormat="1" hidden="1" x14ac:dyDescent="0.35"/>
    <row r="78" customFormat="1" hidden="1" x14ac:dyDescent="0.35"/>
    <row r="79" customFormat="1" hidden="1" x14ac:dyDescent="0.35"/>
    <row r="80" customFormat="1" hidden="1" x14ac:dyDescent="0.35"/>
    <row r="81" customFormat="1" hidden="1" x14ac:dyDescent="0.35"/>
    <row r="82" customFormat="1" hidden="1" x14ac:dyDescent="0.35"/>
    <row r="83" customFormat="1" hidden="1" x14ac:dyDescent="0.35"/>
    <row r="84" customFormat="1" hidden="1" x14ac:dyDescent="0.35"/>
    <row r="85" customFormat="1" hidden="1" x14ac:dyDescent="0.35"/>
    <row r="86" customFormat="1" hidden="1" x14ac:dyDescent="0.35"/>
    <row r="87" customFormat="1" hidden="1" x14ac:dyDescent="0.35"/>
    <row r="88" customFormat="1" hidden="1" x14ac:dyDescent="0.35"/>
    <row r="89" customFormat="1" hidden="1" x14ac:dyDescent="0.35"/>
    <row r="90" customFormat="1" hidden="1" x14ac:dyDescent="0.35"/>
    <row r="91" customFormat="1" hidden="1" x14ac:dyDescent="0.35"/>
    <row r="92" customFormat="1" hidden="1" x14ac:dyDescent="0.35"/>
    <row r="93" customFormat="1" hidden="1" x14ac:dyDescent="0.35"/>
    <row r="94" customFormat="1" hidden="1" x14ac:dyDescent="0.35"/>
    <row r="95" customFormat="1" hidden="1" x14ac:dyDescent="0.35"/>
    <row r="96" customFormat="1" hidden="1" x14ac:dyDescent="0.35"/>
    <row r="112" spans="5:23" hidden="1" x14ac:dyDescent="0.35">
      <c r="E112" s="20"/>
      <c r="F112" s="20"/>
      <c r="G112" s="20"/>
      <c r="H112" s="20"/>
      <c r="I112" s="20"/>
      <c r="J112" s="20"/>
      <c r="K112" s="20"/>
      <c r="L112" s="20"/>
      <c r="M112" s="20"/>
      <c r="N112" s="20"/>
      <c r="O112" s="20"/>
      <c r="P112" s="20"/>
      <c r="Q112" s="20"/>
      <c r="R112" s="20"/>
      <c r="S112" s="20"/>
      <c r="T112" s="20"/>
      <c r="U112" s="20"/>
      <c r="V112" s="20"/>
      <c r="W112" s="20"/>
    </row>
  </sheetData>
  <sheetProtection algorithmName="SHA-512" hashValue="TMu6I3/sTNQCjbpjnPXXz9tm0aq1ys9G+DaorpKHDhOltt3lVLE/OrCnmYmGGczKXbZfLJc8oa+5quqqPkgZ5Q==" saltValue="SIuUpkSANQqR0bHc3W7hVw==" spinCount="100000" sheet="1" objects="1" scenarios="1"/>
  <mergeCells count="27">
    <mergeCell ref="Z15:AE16"/>
    <mergeCell ref="Z27:AC36"/>
    <mergeCell ref="Z17:AA17"/>
    <mergeCell ref="AC17:AE17"/>
    <mergeCell ref="Z18:AA18"/>
    <mergeCell ref="AC18:AE18"/>
    <mergeCell ref="Z19:AA19"/>
    <mergeCell ref="AC19:AE19"/>
    <mergeCell ref="Z20:AA20"/>
    <mergeCell ref="Z21:AA21"/>
    <mergeCell ref="Z22:AA22"/>
    <mergeCell ref="AC20:AE20"/>
    <mergeCell ref="AC21:AE21"/>
    <mergeCell ref="AC22:AE22"/>
    <mergeCell ref="Q13:R13"/>
    <mergeCell ref="Q11:R11"/>
    <mergeCell ref="Q12:R12"/>
    <mergeCell ref="D13:E13"/>
    <mergeCell ref="D12:E12"/>
    <mergeCell ref="D11:E11"/>
    <mergeCell ref="B3:AC3"/>
    <mergeCell ref="B5:AC5"/>
    <mergeCell ref="B6:AC6"/>
    <mergeCell ref="B9:C9"/>
    <mergeCell ref="D9:E9"/>
    <mergeCell ref="B7:AC7"/>
    <mergeCell ref="J9:O9"/>
  </mergeCells>
  <conditionalFormatting sqref="D11:E13">
    <cfRule type="expression" dxfId="1" priority="2">
      <formula>$J$9="As Published"</formula>
    </cfRule>
  </conditionalFormatting>
  <conditionalFormatting sqref="Q11:R13">
    <cfRule type="expression" dxfId="0" priority="1">
      <formula>$J$9="As Published"</formula>
    </cfRule>
  </conditionalFormatting>
  <dataValidations count="2">
    <dataValidation type="list" allowBlank="1" showInputMessage="1" showErrorMessage="1" sqref="J9" xr:uid="{9BE6CB31-CBE5-4F26-9E78-0D0C50575677}">
      <formula1>"As Published, Custom BPF- using published BPF coefficents"</formula1>
    </dataValidation>
    <dataValidation type="list" allowBlank="1" showInputMessage="1" showErrorMessage="1" sqref="D9:E9" xr:uid="{6F6D0441-B0AC-4548-8E93-554484F7DE5A}">
      <formula1>Code_years</formula1>
    </dataValidation>
  </dataValidations>
  <pageMargins left="0.7" right="0.7" top="0.75" bottom="0.75" header="0.3" footer="0.3"/>
  <pageSetup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00840-B984-4182-BB46-6A0E60459C0E}">
  <sheetPr codeName="Sheet2"/>
  <dimension ref="B1:BH68"/>
  <sheetViews>
    <sheetView topLeftCell="AO1" workbookViewId="0">
      <selection activeCell="BD13" sqref="BD13"/>
    </sheetView>
  </sheetViews>
  <sheetFormatPr defaultColWidth="11.453125" defaultRowHeight="14.5" x14ac:dyDescent="0.35"/>
  <cols>
    <col min="1" max="1" width="3.453125" customWidth="1"/>
    <col min="3" max="9" width="7.1796875" customWidth="1"/>
    <col min="10" max="10" width="10.81640625" customWidth="1"/>
    <col min="11" max="11" width="9.54296875" customWidth="1"/>
    <col min="12" max="12" width="12.54296875" customWidth="1"/>
    <col min="13" max="13" width="8" customWidth="1"/>
    <col min="14" max="17" width="7.1796875" customWidth="1"/>
    <col min="18" max="18" width="8" customWidth="1"/>
    <col min="19" max="19" width="7.81640625" customWidth="1"/>
    <col min="20" max="21" width="7.1796875" customWidth="1"/>
    <col min="22" max="22" width="8.453125" customWidth="1"/>
    <col min="23" max="23" width="11.81640625" customWidth="1"/>
    <col min="24" max="24" width="6.26953125" customWidth="1"/>
    <col min="25" max="25" width="5.7265625" customWidth="1"/>
    <col min="26" max="41" width="5.7265625" bestFit="1" customWidth="1"/>
    <col min="42" max="42" width="9.1796875" customWidth="1"/>
    <col min="44" max="45" width="6" customWidth="1"/>
    <col min="46" max="46" width="23.54296875" customWidth="1"/>
    <col min="47" max="47" width="12.1796875" customWidth="1"/>
    <col min="48" max="48" width="13.54296875" customWidth="1"/>
    <col min="49" max="49" width="15.54296875" customWidth="1"/>
    <col min="50" max="50" width="6" customWidth="1"/>
    <col min="51" max="51" width="18.26953125" customWidth="1"/>
    <col min="52" max="52" width="11.54296875" customWidth="1"/>
    <col min="53" max="53" width="11.26953125" customWidth="1"/>
    <col min="54" max="54" width="10.81640625" customWidth="1"/>
    <col min="55" max="55" width="13" customWidth="1"/>
    <col min="56" max="56" width="13.54296875" customWidth="1"/>
    <col min="57" max="57" width="12.7265625" customWidth="1"/>
    <col min="59" max="59" width="13.7265625" customWidth="1"/>
  </cols>
  <sheetData>
    <row r="1" spans="2:60" ht="15" customHeight="1" x14ac:dyDescent="0.35">
      <c r="AT1" s="41" t="s">
        <v>22</v>
      </c>
      <c r="AU1" s="229" t="s">
        <v>23</v>
      </c>
      <c r="AV1" s="229"/>
      <c r="AW1" s="229"/>
      <c r="AY1" s="40" t="s">
        <v>22</v>
      </c>
      <c r="AZ1" s="45" t="s">
        <v>24</v>
      </c>
      <c r="BA1" s="45" t="s">
        <v>25</v>
      </c>
      <c r="BB1" s="45" t="s">
        <v>26</v>
      </c>
      <c r="BC1" s="45" t="s">
        <v>27</v>
      </c>
      <c r="BD1" s="45" t="s">
        <v>113</v>
      </c>
      <c r="BE1" s="45" t="s">
        <v>114</v>
      </c>
      <c r="BG1" s="41" t="s">
        <v>28</v>
      </c>
    </row>
    <row r="2" spans="2:60" x14ac:dyDescent="0.35">
      <c r="K2" s="1" t="s">
        <v>0</v>
      </c>
      <c r="L2" t="s">
        <v>0</v>
      </c>
      <c r="AT2" s="36" t="s">
        <v>7</v>
      </c>
      <c r="AU2" s="44" t="s">
        <v>59</v>
      </c>
      <c r="AV2" s="44" t="s">
        <v>60</v>
      </c>
      <c r="AW2" s="44" t="s">
        <v>61</v>
      </c>
      <c r="AY2" s="36" t="s">
        <v>7</v>
      </c>
      <c r="AZ2" s="37">
        <v>0.11219999999999999</v>
      </c>
      <c r="BA2" s="38">
        <v>0.83809999999999996</v>
      </c>
      <c r="BB2" s="39">
        <v>8.27</v>
      </c>
      <c r="BC2" s="39">
        <v>123</v>
      </c>
      <c r="BD2" s="39">
        <v>0.47099999999999997</v>
      </c>
      <c r="BE2" s="39">
        <v>14.7</v>
      </c>
      <c r="BG2" s="33" t="str">
        <f>'BPF Calculator'!J9</f>
        <v>As Published</v>
      </c>
    </row>
    <row r="3" spans="2:60" x14ac:dyDescent="0.35">
      <c r="J3" s="52" t="s">
        <v>4</v>
      </c>
      <c r="K3" s="232" t="str">
        <f>codeyear&amp;$BG$3</f>
        <v>90.1-2025_Pub</v>
      </c>
      <c r="L3" s="233"/>
      <c r="M3" s="234"/>
      <c r="AA3" s="10"/>
      <c r="AT3" s="36" t="s">
        <v>34</v>
      </c>
      <c r="AU3" s="44" t="s">
        <v>59</v>
      </c>
      <c r="AV3" s="44" t="s">
        <v>60</v>
      </c>
      <c r="AW3" s="44" t="s">
        <v>61</v>
      </c>
      <c r="AY3" s="36"/>
      <c r="AZ3" s="37"/>
      <c r="BA3" s="37"/>
      <c r="BB3" s="39"/>
      <c r="BC3" s="39"/>
      <c r="BD3" s="39"/>
      <c r="BE3" s="39"/>
      <c r="BG3" s="42" t="str">
        <f>IF(BG2="Custom BPF - using Final PNNL coefficents","","_Pub")</f>
        <v>_Pub</v>
      </c>
      <c r="BH3" t="s">
        <v>29</v>
      </c>
    </row>
    <row r="4" spans="2:60" x14ac:dyDescent="0.35">
      <c r="J4" s="52" t="s">
        <v>30</v>
      </c>
      <c r="K4" s="53"/>
      <c r="L4" s="53"/>
      <c r="M4" s="53"/>
      <c r="AT4" s="36"/>
      <c r="AU4" s="37"/>
      <c r="AV4" s="37"/>
      <c r="AW4" s="37"/>
      <c r="AY4" s="36"/>
      <c r="AZ4" s="37"/>
      <c r="BA4" s="37"/>
      <c r="BB4" s="39"/>
      <c r="BC4" s="39"/>
      <c r="BD4" s="39"/>
      <c r="BE4" s="39"/>
      <c r="BG4" s="33" t="str">
        <f>IF(AND(BG2="As Published",codeyear="90.1-2019",ElecCost=AZ3,gascost=BA3),"AP2019",IF(AND(BG2="As Published", codeyear="90.1-2016",ElecCost=AZ2,gascost=BA2),"AP2016","1"))</f>
        <v>1</v>
      </c>
    </row>
    <row r="5" spans="2:60" x14ac:dyDescent="0.35">
      <c r="J5" s="54"/>
      <c r="K5" s="231" t="s">
        <v>5</v>
      </c>
      <c r="L5" s="231"/>
      <c r="M5" s="46"/>
      <c r="P5" s="235"/>
      <c r="Q5" s="235"/>
      <c r="AT5" s="36"/>
      <c r="AU5" s="37"/>
      <c r="AV5" s="37"/>
      <c r="AW5" s="37"/>
      <c r="AY5" s="36"/>
      <c r="AZ5" s="37"/>
      <c r="BA5" s="37"/>
      <c r="BB5" s="39"/>
      <c r="BC5" s="39"/>
      <c r="BD5" s="39"/>
      <c r="BE5" s="39"/>
    </row>
    <row r="6" spans="2:60" x14ac:dyDescent="0.35">
      <c r="J6" s="52" t="s">
        <v>31</v>
      </c>
      <c r="K6" s="55" cm="1">
        <f t="array" aca="1" ref="K6" ca="1">IF($BG$2="As Published",INDIRECT("AZ"&amp;MATCH(codeyear,Code_years)+1)/3.412,ElecCost/3.412)</f>
        <v>3.2883939038686985E-2</v>
      </c>
      <c r="L6" s="56" t="s">
        <v>12</v>
      </c>
      <c r="M6" s="46"/>
      <c r="AT6" s="36"/>
      <c r="AU6" s="37"/>
      <c r="AV6" s="37"/>
      <c r="AW6" s="37"/>
      <c r="AY6" s="36"/>
      <c r="AZ6" s="37"/>
      <c r="BA6" s="37"/>
      <c r="BB6" s="39"/>
      <c r="BC6" s="39"/>
      <c r="BD6" s="39"/>
      <c r="BE6" s="39"/>
    </row>
    <row r="7" spans="2:60" x14ac:dyDescent="0.35">
      <c r="J7" s="52" t="s">
        <v>111</v>
      </c>
      <c r="K7" s="55" cm="1">
        <f t="array" aca="1" ref="K7" ca="1">IF($BG$2="As Published",INDIRECT("BD"&amp;MATCH(codeyear,Code_years)+1)/3.412,ElecCarbon/3.412)</f>
        <v>0.138042203985932</v>
      </c>
      <c r="L7" s="56" t="s">
        <v>16</v>
      </c>
      <c r="M7" s="46"/>
      <c r="AT7" s="36"/>
      <c r="AU7" s="37"/>
      <c r="AV7" s="37"/>
      <c r="AW7" s="37"/>
      <c r="AY7" s="36"/>
      <c r="AZ7" s="37"/>
      <c r="BA7" s="37"/>
      <c r="BB7" s="39"/>
      <c r="BC7" s="39"/>
      <c r="BD7" s="39"/>
      <c r="BE7" s="39"/>
    </row>
    <row r="8" spans="2:60" x14ac:dyDescent="0.35">
      <c r="J8" s="52" t="s">
        <v>32</v>
      </c>
      <c r="K8" s="55" cm="1">
        <f t="array" aca="1" ref="K8" ca="1">IF($BG$2="As Published",INDIRECT("BB"&amp;MATCH(codeyear,Code_years)+1)/3.412,elecsource/3.412)</f>
        <v>2.4237983587338805</v>
      </c>
      <c r="L8" s="56" t="s">
        <v>21</v>
      </c>
      <c r="M8" s="46"/>
      <c r="AT8" s="36"/>
      <c r="AU8" s="37"/>
      <c r="AV8" s="37"/>
      <c r="AW8" s="37"/>
      <c r="AY8" s="43"/>
      <c r="AZ8" s="37"/>
      <c r="BA8" s="37"/>
      <c r="BB8" s="39"/>
      <c r="BC8" s="39"/>
      <c r="BD8" s="39"/>
      <c r="BE8" s="39"/>
    </row>
    <row r="9" spans="2:60" x14ac:dyDescent="0.35">
      <c r="J9" s="52"/>
      <c r="K9" s="230" t="s">
        <v>33</v>
      </c>
      <c r="L9" s="230"/>
      <c r="M9" s="46"/>
      <c r="AT9" s="36"/>
      <c r="AU9" s="37"/>
      <c r="AV9" s="37"/>
      <c r="AW9" s="37"/>
      <c r="AY9" s="43"/>
      <c r="AZ9" s="37"/>
      <c r="BA9" s="37"/>
      <c r="BB9" s="39"/>
      <c r="BC9" s="39"/>
      <c r="BD9" s="39"/>
      <c r="BE9" s="39"/>
    </row>
    <row r="10" spans="2:60" x14ac:dyDescent="0.35">
      <c r="J10" s="52" t="s">
        <v>31</v>
      </c>
      <c r="K10" s="55" cm="1">
        <f t="array" aca="1" ref="K10" ca="1">IF($BG$2="As Published",INDIRECT("BA"&amp;MATCH(codeyear,Code_years,0)+1)/100,gascost/100)</f>
        <v>8.3809999999999996E-3</v>
      </c>
      <c r="L10" s="56" t="s">
        <v>12</v>
      </c>
      <c r="M10" s="46"/>
      <c r="AT10" s="36"/>
      <c r="AU10" s="37"/>
      <c r="AV10" s="37"/>
      <c r="AW10" s="37"/>
      <c r="AY10" s="43"/>
      <c r="AZ10" s="37"/>
      <c r="BA10" s="37"/>
      <c r="BB10" s="39"/>
      <c r="BC10" s="39"/>
      <c r="BD10" s="39"/>
      <c r="BE10" s="39"/>
    </row>
    <row r="11" spans="2:60" x14ac:dyDescent="0.35">
      <c r="J11" s="52" t="s">
        <v>111</v>
      </c>
      <c r="K11" s="55" cm="1">
        <f t="array" aca="1" ref="K11" ca="1">IF($BG$2="As Published",INDIRECT("BE"&amp;MATCH(codeyear,Code_years,0)+1)/100,gascarbon/100)</f>
        <v>0.14699999999999999</v>
      </c>
      <c r="L11" s="56" t="s">
        <v>16</v>
      </c>
      <c r="M11" s="46"/>
      <c r="AT11" s="36"/>
      <c r="AU11" s="37"/>
      <c r="AV11" s="37"/>
      <c r="AW11" s="37"/>
    </row>
    <row r="12" spans="2:60" x14ac:dyDescent="0.35">
      <c r="J12" s="52" t="s">
        <v>32</v>
      </c>
      <c r="K12" s="55" cm="1">
        <f t="array" aca="1" ref="K12" ca="1">IF($BG$2="As Published",INDIRECT("BC"&amp;MATCH(codeyear,Code_years,0)+1)/100,gassource/100)</f>
        <v>1.23</v>
      </c>
      <c r="L12" s="56" t="s">
        <v>21</v>
      </c>
      <c r="M12" s="46"/>
      <c r="W12" s="5" t="s">
        <v>0</v>
      </c>
      <c r="X12" s="5"/>
      <c r="Y12" s="5"/>
      <c r="Z12" s="5"/>
      <c r="AA12" s="5"/>
      <c r="AB12" s="5"/>
      <c r="AC12" s="5"/>
      <c r="AD12" s="5"/>
      <c r="AE12" s="5"/>
      <c r="AF12" s="5"/>
      <c r="AG12" s="5"/>
      <c r="AH12" s="5"/>
      <c r="AI12" s="5"/>
      <c r="AJ12" s="5"/>
      <c r="AK12" s="5"/>
      <c r="AL12" s="5"/>
      <c r="AM12" s="5"/>
      <c r="AN12" s="5"/>
      <c r="AO12" s="5"/>
      <c r="AP12" s="5"/>
      <c r="AT12" s="36"/>
      <c r="AU12" s="37"/>
      <c r="AV12" s="37"/>
      <c r="AW12" s="37"/>
    </row>
    <row r="13" spans="2:60" x14ac:dyDescent="0.35">
      <c r="C13" t="s">
        <v>0</v>
      </c>
      <c r="D13" t="s">
        <v>0</v>
      </c>
      <c r="E13" t="s">
        <v>0</v>
      </c>
      <c r="F13" t="s">
        <v>0</v>
      </c>
      <c r="G13" t="s">
        <v>0</v>
      </c>
      <c r="H13" t="s">
        <v>0</v>
      </c>
      <c r="I13" t="s">
        <v>0</v>
      </c>
      <c r="J13" t="s">
        <v>0</v>
      </c>
      <c r="K13" s="2" t="s">
        <v>0</v>
      </c>
      <c r="L13" t="s">
        <v>0</v>
      </c>
      <c r="M13" t="s">
        <v>0</v>
      </c>
      <c r="N13" t="s">
        <v>0</v>
      </c>
      <c r="O13" t="s">
        <v>0</v>
      </c>
      <c r="P13" t="s">
        <v>0</v>
      </c>
      <c r="Q13" t="s">
        <v>0</v>
      </c>
      <c r="R13" t="s">
        <v>0</v>
      </c>
      <c r="S13" t="s">
        <v>0</v>
      </c>
      <c r="T13" t="s">
        <v>0</v>
      </c>
      <c r="U13" t="s">
        <v>0</v>
      </c>
      <c r="AT13" s="36"/>
      <c r="AU13" s="37"/>
      <c r="AV13" s="37"/>
      <c r="AW13" s="37"/>
    </row>
    <row r="14" spans="2:60" s="48" customFormat="1" ht="10.5" x14ac:dyDescent="0.25">
      <c r="B14" s="48" t="s">
        <v>35</v>
      </c>
      <c r="C14" s="48" t="s">
        <v>36</v>
      </c>
      <c r="W14" s="48" t="s">
        <v>37</v>
      </c>
      <c r="AT14" s="50"/>
      <c r="AU14" s="51"/>
      <c r="AV14" s="51"/>
      <c r="AW14" s="51"/>
    </row>
    <row r="15" spans="2:60" s="48" customFormat="1" ht="10.5" x14ac:dyDescent="0.25">
      <c r="B15" s="48" t="s">
        <v>38</v>
      </c>
      <c r="C15" s="48" t="s">
        <v>39</v>
      </c>
      <c r="D15" s="48" t="s">
        <v>40</v>
      </c>
      <c r="E15" s="48" t="s">
        <v>41</v>
      </c>
      <c r="F15" s="48" t="s">
        <v>42</v>
      </c>
      <c r="G15" s="48" t="s">
        <v>43</v>
      </c>
      <c r="H15" s="48" t="s">
        <v>44</v>
      </c>
      <c r="I15" s="48" t="s">
        <v>45</v>
      </c>
      <c r="J15" s="48" t="s">
        <v>46</v>
      </c>
      <c r="K15" s="48" t="s">
        <v>47</v>
      </c>
      <c r="L15" s="48" t="s">
        <v>48</v>
      </c>
      <c r="M15" s="48" t="s">
        <v>49</v>
      </c>
      <c r="N15" s="48" t="s">
        <v>50</v>
      </c>
      <c r="O15" s="48" t="s">
        <v>51</v>
      </c>
      <c r="P15" s="48" t="s">
        <v>52</v>
      </c>
      <c r="Q15" s="48" t="s">
        <v>53</v>
      </c>
      <c r="R15" s="48" t="s">
        <v>54</v>
      </c>
      <c r="S15" s="48" t="s">
        <v>55</v>
      </c>
      <c r="T15" s="48" t="s">
        <v>56</v>
      </c>
      <c r="U15" s="48" t="s">
        <v>57</v>
      </c>
      <c r="W15" s="48" t="s">
        <v>38</v>
      </c>
      <c r="X15" s="48" t="s">
        <v>39</v>
      </c>
      <c r="Y15" s="48" t="s">
        <v>40</v>
      </c>
      <c r="Z15" s="48" t="s">
        <v>41</v>
      </c>
      <c r="AA15" s="48" t="s">
        <v>42</v>
      </c>
      <c r="AB15" s="48" t="s">
        <v>43</v>
      </c>
      <c r="AC15" s="48" t="s">
        <v>44</v>
      </c>
      <c r="AD15" s="48" t="s">
        <v>45</v>
      </c>
      <c r="AE15" s="48" t="s">
        <v>46</v>
      </c>
      <c r="AF15" s="48" t="s">
        <v>47</v>
      </c>
      <c r="AG15" s="48" t="s">
        <v>48</v>
      </c>
      <c r="AH15" s="48" t="s">
        <v>49</v>
      </c>
      <c r="AI15" s="48" t="s">
        <v>50</v>
      </c>
      <c r="AJ15" s="48" t="s">
        <v>51</v>
      </c>
      <c r="AK15" s="48" t="s">
        <v>52</v>
      </c>
      <c r="AL15" s="48" t="s">
        <v>53</v>
      </c>
      <c r="AM15" s="48" t="s">
        <v>54</v>
      </c>
      <c r="AN15" s="48" t="s">
        <v>55</v>
      </c>
      <c r="AO15" s="48" t="s">
        <v>56</v>
      </c>
      <c r="AP15" s="48" t="s">
        <v>57</v>
      </c>
      <c r="AT15" s="50"/>
      <c r="AU15" s="51"/>
      <c r="AV15" s="51"/>
      <c r="AW15" s="51"/>
    </row>
    <row r="16" spans="2:60" s="48" customFormat="1" ht="10.5" x14ac:dyDescent="0.25">
      <c r="B16" s="48" t="s">
        <v>58</v>
      </c>
      <c r="C16" s="48">
        <v>0.28356776196479599</v>
      </c>
      <c r="D16" s="48">
        <v>0.30282915438649999</v>
      </c>
      <c r="E16" s="48">
        <v>0.38974106356494898</v>
      </c>
      <c r="F16" s="48">
        <v>0.37292333083566997</v>
      </c>
      <c r="G16" s="48">
        <v>0.47444914758970502</v>
      </c>
      <c r="H16" s="48">
        <v>0.490590141607952</v>
      </c>
      <c r="I16" s="48">
        <v>0.626954013612812</v>
      </c>
      <c r="J16" s="48">
        <v>0.634299994672752</v>
      </c>
      <c r="K16" s="48">
        <v>1.08084208924295</v>
      </c>
      <c r="L16" s="48">
        <v>1.04213162897078</v>
      </c>
      <c r="M16" s="48">
        <v>0.77319704321190297</v>
      </c>
      <c r="N16" s="48">
        <v>1.17974919521074</v>
      </c>
      <c r="O16" s="48">
        <v>1.3480037081187199</v>
      </c>
      <c r="P16" s="48">
        <v>0.97555799434785595</v>
      </c>
      <c r="Q16" s="48">
        <v>1.1856753973726499</v>
      </c>
      <c r="R16" s="48">
        <v>1.5460140990665701</v>
      </c>
      <c r="S16" s="48">
        <v>1.3411303564408099</v>
      </c>
      <c r="T16" s="48">
        <v>1.7460905802278099</v>
      </c>
      <c r="U16" s="48">
        <v>2.1242863332986701</v>
      </c>
      <c r="W16" s="48" t="s">
        <v>58</v>
      </c>
      <c r="X16" s="49">
        <f ca="1">IF($K$3="90.1-2016_Pub",(($K$6+C16*$K$10)/(C31*$K$6+C45*$K$10))-0.05,(($K$6+C16*$K$10)/(C31*$K$6+C45*$K$10)))</f>
        <v>0.60830016002416709</v>
      </c>
      <c r="Y16" s="49">
        <f t="shared" ref="Y16:AP24" ca="1" si="0">IF($K$3="90.1-2016_Pub",(($K$6+D16*$K$10)/(D31*$K$6+D45*$K$10))-0.05,(($K$6+D16*$K$10)/(D31*$K$6+D45*$K$10)))</f>
        <v>0.56743040245813814</v>
      </c>
      <c r="Z16" s="49">
        <f t="shared" ca="1" si="0"/>
        <v>0.59831722672347687</v>
      </c>
      <c r="AA16" s="49">
        <f t="shared" ca="1" si="0"/>
        <v>0.573924670398127</v>
      </c>
      <c r="AB16" s="49">
        <f t="shared" ca="1" si="0"/>
        <v>0.59221069746997435</v>
      </c>
      <c r="AC16" s="49">
        <f t="shared" ca="1" si="0"/>
        <v>0.56924312287671852</v>
      </c>
      <c r="AD16" s="49">
        <f t="shared" ca="1" si="0"/>
        <v>0.57886038270412266</v>
      </c>
      <c r="AE16" s="49">
        <f t="shared" ca="1" si="0"/>
        <v>0.57884883542574783</v>
      </c>
      <c r="AF16" s="49">
        <f t="shared" ca="1" si="0"/>
        <v>0.46088030831234594</v>
      </c>
      <c r="AG16" s="49">
        <f t="shared" ca="1" si="0"/>
        <v>0.55311411982578962</v>
      </c>
      <c r="AH16" s="49">
        <f t="shared" ca="1" si="0"/>
        <v>0.57347790719826197</v>
      </c>
      <c r="AI16" s="49">
        <f t="shared" ca="1" si="0"/>
        <v>0.55350157548531187</v>
      </c>
      <c r="AJ16" s="49">
        <f t="shared" ca="1" si="0"/>
        <v>0.54236124802197649</v>
      </c>
      <c r="AK16" s="49">
        <f t="shared" ca="1" si="0"/>
        <v>0.5586035472202644</v>
      </c>
      <c r="AL16" s="49">
        <f t="shared" ca="1" si="0"/>
        <v>0.56821668981421103</v>
      </c>
      <c r="AM16" s="49">
        <f t="shared" ca="1" si="0"/>
        <v>0.52650580518842893</v>
      </c>
      <c r="AN16" s="49">
        <f t="shared" ca="1" si="0"/>
        <v>0.53478514579252545</v>
      </c>
      <c r="AO16" s="49">
        <f t="shared" ca="1" si="0"/>
        <v>0.53814315857320216</v>
      </c>
      <c r="AP16" s="49">
        <f t="shared" ca="1" si="0"/>
        <v>0.59497086413699274</v>
      </c>
      <c r="AT16" s="50"/>
      <c r="AU16" s="51"/>
      <c r="AV16" s="51"/>
      <c r="AW16" s="51"/>
    </row>
    <row r="17" spans="2:49" s="48" customFormat="1" ht="10.5" x14ac:dyDescent="0.25">
      <c r="B17" s="48" t="s">
        <v>62</v>
      </c>
      <c r="C17" s="48">
        <v>3.00361940449725E-2</v>
      </c>
      <c r="D17" s="48">
        <v>3.6765882300708402E-2</v>
      </c>
      <c r="E17" s="48">
        <v>4.1473786686261602E-2</v>
      </c>
      <c r="F17" s="48">
        <v>4.3474260682992698E-2</v>
      </c>
      <c r="G17" s="48">
        <v>4.9566302648869402E-2</v>
      </c>
      <c r="H17" s="48">
        <v>4.9361569304871601E-2</v>
      </c>
      <c r="I17" s="48">
        <v>7.5605250343665595E-2</v>
      </c>
      <c r="J17" s="48">
        <v>0.13328545595924099</v>
      </c>
      <c r="K17" s="48">
        <v>0.14669184093295001</v>
      </c>
      <c r="L17" s="48">
        <v>0.24557055009888301</v>
      </c>
      <c r="M17" s="48">
        <v>0.15589062828500799</v>
      </c>
      <c r="N17" s="48">
        <v>0.25390146290503801</v>
      </c>
      <c r="O17" s="48">
        <v>0.32208482075016298</v>
      </c>
      <c r="P17" s="48">
        <v>0.23910896600394799</v>
      </c>
      <c r="Q17" s="48">
        <v>0.59452235372144702</v>
      </c>
      <c r="R17" s="48">
        <v>0.44450594804973098</v>
      </c>
      <c r="S17" s="48">
        <v>0.57533897651398003</v>
      </c>
      <c r="T17" s="48">
        <v>0.88938056969194901</v>
      </c>
      <c r="U17" s="48">
        <v>1.19492122258067</v>
      </c>
      <c r="W17" s="48" t="s">
        <v>62</v>
      </c>
      <c r="X17" s="49">
        <f t="shared" ref="X17:X24" ca="1" si="1">IF($K$3="90.1-2016_Pub",(($K$6+C17*$K$10)/(C32*$K$6+C46*$K$10))-0.05,(($K$6+C17*$K$10)/(C32*$K$6+C46*$K$10)))</f>
        <v>0.59822892200818556</v>
      </c>
      <c r="Y17" s="49">
        <f t="shared" ca="1" si="0"/>
        <v>0.58599295622312231</v>
      </c>
      <c r="Z17" s="49">
        <f t="shared" ca="1" si="0"/>
        <v>0.5881104627720416</v>
      </c>
      <c r="AA17" s="49">
        <f t="shared" ca="1" si="0"/>
        <v>0.59528133420890095</v>
      </c>
      <c r="AB17" s="49">
        <f t="shared" ca="1" si="0"/>
        <v>0.59942767949357778</v>
      </c>
      <c r="AC17" s="49">
        <f t="shared" ca="1" si="0"/>
        <v>0.59739762132738494</v>
      </c>
      <c r="AD17" s="49">
        <f t="shared" ca="1" si="0"/>
        <v>0.58155713559274991</v>
      </c>
      <c r="AE17" s="49">
        <f t="shared" ca="1" si="0"/>
        <v>0.58667100608020895</v>
      </c>
      <c r="AF17" s="49">
        <f t="shared" ca="1" si="0"/>
        <v>0.5556926615289306</v>
      </c>
      <c r="AG17" s="49">
        <f t="shared" ca="1" si="0"/>
        <v>0.55992946164938184</v>
      </c>
      <c r="AH17" s="49">
        <f t="shared" ca="1" si="0"/>
        <v>0.57467791079490771</v>
      </c>
      <c r="AI17" s="49">
        <f t="shared" ca="1" si="0"/>
        <v>0.57714756536738221</v>
      </c>
      <c r="AJ17" s="49">
        <f t="shared" ca="1" si="0"/>
        <v>0.57962457303433745</v>
      </c>
      <c r="AK17" s="49">
        <f t="shared" ca="1" si="0"/>
        <v>0.56699520845680573</v>
      </c>
      <c r="AL17" s="49">
        <f t="shared" ca="1" si="0"/>
        <v>0.53344112086671602</v>
      </c>
      <c r="AM17" s="49">
        <f t="shared" ca="1" si="0"/>
        <v>0.57192182006485381</v>
      </c>
      <c r="AN17" s="49">
        <f t="shared" ca="1" si="0"/>
        <v>0.54622756493830915</v>
      </c>
      <c r="AO17" s="49">
        <f t="shared" ca="1" si="0"/>
        <v>0.55321311387298311</v>
      </c>
      <c r="AP17" s="49">
        <f t="shared" ca="1" si="0"/>
        <v>0.57092081078405277</v>
      </c>
      <c r="AT17" s="50"/>
      <c r="AU17" s="51"/>
      <c r="AV17" s="51"/>
      <c r="AW17" s="51"/>
    </row>
    <row r="18" spans="2:49" s="48" customFormat="1" ht="10.5" x14ac:dyDescent="0.25">
      <c r="B18" s="48" t="s">
        <v>63</v>
      </c>
      <c r="C18" s="48">
        <v>0.314135976376406</v>
      </c>
      <c r="D18" s="48">
        <v>0.33418135036415503</v>
      </c>
      <c r="E18" s="48">
        <v>0.40360805337407502</v>
      </c>
      <c r="F18" s="48">
        <v>0.39612538245670098</v>
      </c>
      <c r="G18" s="48">
        <v>0.47520639761052602</v>
      </c>
      <c r="H18" s="48">
        <v>0.53484279797540402</v>
      </c>
      <c r="I18" s="48">
        <v>0.62055712164144505</v>
      </c>
      <c r="J18" s="48">
        <v>0.71621144889717203</v>
      </c>
      <c r="K18" s="48">
        <v>0.83927746052876095</v>
      </c>
      <c r="L18" s="48">
        <v>0.99961610783005705</v>
      </c>
      <c r="M18" s="48">
        <v>0.93067949505970204</v>
      </c>
      <c r="N18" s="48">
        <v>1.1937750842979</v>
      </c>
      <c r="O18" s="48">
        <v>1.23302110124034</v>
      </c>
      <c r="P18" s="48">
        <v>1.13998770675908</v>
      </c>
      <c r="Q18" s="48">
        <v>1.3144787610458799</v>
      </c>
      <c r="R18" s="48">
        <v>1.442596266932</v>
      </c>
      <c r="S18" s="48">
        <v>1.43590575610268</v>
      </c>
      <c r="T18" s="48">
        <v>1.80565993607207</v>
      </c>
      <c r="U18" s="48">
        <v>2.4081416462592902</v>
      </c>
      <c r="W18" s="48" t="s">
        <v>63</v>
      </c>
      <c r="X18" s="49">
        <f t="shared" ca="1" si="1"/>
        <v>0.58032814831730439</v>
      </c>
      <c r="Y18" s="49">
        <f t="shared" ca="1" si="0"/>
        <v>0.56469455059646168</v>
      </c>
      <c r="Z18" s="49">
        <f t="shared" ca="1" si="0"/>
        <v>0.57489433172072335</v>
      </c>
      <c r="AA18" s="49">
        <f t="shared" ca="1" si="0"/>
        <v>0.55829508806579542</v>
      </c>
      <c r="AB18" s="49">
        <f t="shared" ca="1" si="0"/>
        <v>0.55422548325877885</v>
      </c>
      <c r="AC18" s="49">
        <f t="shared" ca="1" si="0"/>
        <v>0.53513459718918321</v>
      </c>
      <c r="AD18" s="49">
        <f t="shared" ca="1" si="0"/>
        <v>0.53912200037187186</v>
      </c>
      <c r="AE18" s="49">
        <f t="shared" ca="1" si="0"/>
        <v>0.54386454681530627</v>
      </c>
      <c r="AF18" s="49">
        <f t="shared" ca="1" si="0"/>
        <v>0.52639526765727407</v>
      </c>
      <c r="AG18" s="49">
        <f t="shared" ca="1" si="0"/>
        <v>0.53094083454544039</v>
      </c>
      <c r="AH18" s="49">
        <f t="shared" ca="1" si="0"/>
        <v>0.52942341650742264</v>
      </c>
      <c r="AI18" s="49">
        <f t="shared" ca="1" si="0"/>
        <v>0.52224739102144047</v>
      </c>
      <c r="AJ18" s="49">
        <f t="shared" ca="1" si="0"/>
        <v>0.52722063423479482</v>
      </c>
      <c r="AK18" s="49">
        <f t="shared" ca="1" si="0"/>
        <v>0.52795180229055405</v>
      </c>
      <c r="AL18" s="49">
        <f t="shared" ca="1" si="0"/>
        <v>0.52845054499256583</v>
      </c>
      <c r="AM18" s="49">
        <f t="shared" ca="1" si="0"/>
        <v>0.52500392075109281</v>
      </c>
      <c r="AN18" s="49">
        <f t="shared" ca="1" si="0"/>
        <v>0.5294713458413467</v>
      </c>
      <c r="AO18" s="49">
        <f t="shared" ca="1" si="0"/>
        <v>0.52419947363771902</v>
      </c>
      <c r="AP18" s="49">
        <f t="shared" ca="1" si="0"/>
        <v>0.52732167549494313</v>
      </c>
      <c r="AU18" s="51"/>
      <c r="AV18" s="51"/>
      <c r="AW18" s="51"/>
    </row>
    <row r="19" spans="2:49" s="48" customFormat="1" ht="10.5" x14ac:dyDescent="0.25">
      <c r="B19" s="48" t="s">
        <v>64</v>
      </c>
      <c r="C19" s="48">
        <v>0</v>
      </c>
      <c r="D19" s="48">
        <v>0</v>
      </c>
      <c r="E19" s="48">
        <v>0</v>
      </c>
      <c r="F19" s="48">
        <v>0</v>
      </c>
      <c r="G19" s="48">
        <v>0</v>
      </c>
      <c r="H19" s="48">
        <v>0</v>
      </c>
      <c r="I19" s="48">
        <v>0</v>
      </c>
      <c r="J19" s="48">
        <v>7.2655725388927006E-2</v>
      </c>
      <c r="K19" s="48">
        <v>1.91860482695131E-2</v>
      </c>
      <c r="L19" s="48">
        <v>0.34962384370997401</v>
      </c>
      <c r="M19" s="48">
        <v>0.14399537059763401</v>
      </c>
      <c r="N19" s="48">
        <v>0.33134677892049602</v>
      </c>
      <c r="O19" s="48">
        <v>0.56189294555099201</v>
      </c>
      <c r="P19" s="48">
        <v>0.35106455424231398</v>
      </c>
      <c r="Q19" s="48">
        <v>0.381925897196631</v>
      </c>
      <c r="R19" s="48">
        <v>0.94225983037585104</v>
      </c>
      <c r="S19" s="48">
        <v>0.67471407072131295</v>
      </c>
      <c r="T19" s="48">
        <v>0.89358112690622904</v>
      </c>
      <c r="U19" s="48">
        <v>1.40421228889131</v>
      </c>
      <c r="W19" s="48" t="s">
        <v>64</v>
      </c>
      <c r="X19" s="49">
        <f t="shared" ca="1" si="1"/>
        <v>0.42809668008915525</v>
      </c>
      <c r="Y19" s="49">
        <f t="shared" ca="1" si="0"/>
        <v>0.41775894685786108</v>
      </c>
      <c r="Z19" s="49">
        <f t="shared" ca="1" si="0"/>
        <v>0.40318724517391441</v>
      </c>
      <c r="AA19" s="49">
        <f t="shared" ca="1" si="0"/>
        <v>0.40588781698686055</v>
      </c>
      <c r="AB19" s="49">
        <f t="shared" ca="1" si="0"/>
        <v>0.36917358843813936</v>
      </c>
      <c r="AC19" s="49">
        <f t="shared" ca="1" si="0"/>
        <v>0.3878098303472724</v>
      </c>
      <c r="AD19" s="49">
        <f t="shared" ca="1" si="0"/>
        <v>0.36818607367507689</v>
      </c>
      <c r="AE19" s="49">
        <f t="shared" ca="1" si="0"/>
        <v>0.38306884483796172</v>
      </c>
      <c r="AF19" s="49">
        <f t="shared" ca="1" si="0"/>
        <v>0.34977750028803067</v>
      </c>
      <c r="AG19" s="49">
        <f t="shared" ca="1" si="0"/>
        <v>0.35116700153997288</v>
      </c>
      <c r="AH19" s="49">
        <f t="shared" ca="1" si="0"/>
        <v>0.36692197590523346</v>
      </c>
      <c r="AI19" s="49">
        <f t="shared" ca="1" si="0"/>
        <v>0.36153636053815263</v>
      </c>
      <c r="AJ19" s="49">
        <f t="shared" ca="1" si="0"/>
        <v>0.36543763293064119</v>
      </c>
      <c r="AK19" s="49">
        <f t="shared" ca="1" si="0"/>
        <v>0.36699305083059358</v>
      </c>
      <c r="AL19" s="49">
        <f t="shared" ca="1" si="0"/>
        <v>0.36634824993809995</v>
      </c>
      <c r="AM19" s="49">
        <f t="shared" ca="1" si="0"/>
        <v>0.37640198997123353</v>
      </c>
      <c r="AN19" s="49">
        <f t="shared" ca="1" si="0"/>
        <v>0.3643763250669047</v>
      </c>
      <c r="AO19" s="49">
        <f t="shared" ca="1" si="0"/>
        <v>0.36061106938840637</v>
      </c>
      <c r="AP19" s="49">
        <f t="shared" ca="1" si="0"/>
        <v>0.38731260902646775</v>
      </c>
      <c r="AU19" s="51"/>
      <c r="AV19" s="51"/>
      <c r="AW19" s="51"/>
    </row>
    <row r="20" spans="2:49" s="48" customFormat="1" ht="10.5" x14ac:dyDescent="0.25">
      <c r="B20" s="48" t="s">
        <v>65</v>
      </c>
      <c r="C20" s="48">
        <v>0.26590886838597</v>
      </c>
      <c r="D20" s="48">
        <v>0.286477440027263</v>
      </c>
      <c r="E20" s="48">
        <v>0.37618635401311301</v>
      </c>
      <c r="F20" s="48">
        <v>0.35216133597968202</v>
      </c>
      <c r="G20" s="48">
        <v>0.44351122929058701</v>
      </c>
      <c r="H20" s="48">
        <v>0.48176148968608501</v>
      </c>
      <c r="I20" s="48">
        <v>0.54917823915542296</v>
      </c>
      <c r="J20" s="48">
        <v>0.88743483667336998</v>
      </c>
      <c r="K20" s="48">
        <v>0.95215054062612903</v>
      </c>
      <c r="L20" s="48">
        <v>1.98286179856149</v>
      </c>
      <c r="M20" s="48">
        <v>1.3564563961700999</v>
      </c>
      <c r="N20" s="48">
        <v>2.0052202063225102</v>
      </c>
      <c r="O20" s="48">
        <v>2.8683754801536598</v>
      </c>
      <c r="P20" s="48">
        <v>1.96680858412193</v>
      </c>
      <c r="Q20" s="48">
        <v>2.3745090772780899</v>
      </c>
      <c r="R20" s="48">
        <v>3.6028823220543802</v>
      </c>
      <c r="S20" s="48">
        <v>2.9743700946274401</v>
      </c>
      <c r="T20" s="48">
        <v>4.6381599425612903</v>
      </c>
      <c r="U20" s="48">
        <v>6.6050575972012702</v>
      </c>
      <c r="W20" s="48" t="s">
        <v>65</v>
      </c>
      <c r="X20" s="49">
        <f t="shared" ca="1" si="1"/>
        <v>0.57392560918471025</v>
      </c>
      <c r="Y20" s="49">
        <f t="shared" ca="1" si="0"/>
        <v>0.55238264852835872</v>
      </c>
      <c r="Z20" s="49">
        <f t="shared" ca="1" si="0"/>
        <v>0.55758768084575283</v>
      </c>
      <c r="AA20" s="49">
        <f t="shared" ca="1" si="0"/>
        <v>0.55007886805777884</v>
      </c>
      <c r="AB20" s="49">
        <f t="shared" ca="1" si="0"/>
        <v>0.54991375165987655</v>
      </c>
      <c r="AC20" s="49">
        <f t="shared" ca="1" si="0"/>
        <v>0.54668998524667367</v>
      </c>
      <c r="AD20" s="49">
        <f t="shared" ca="1" si="0"/>
        <v>0.58345725262133008</v>
      </c>
      <c r="AE20" s="49">
        <f t="shared" ca="1" si="0"/>
        <v>0.55609780086103777</v>
      </c>
      <c r="AF20" s="49">
        <f t="shared" ca="1" si="0"/>
        <v>0.54416146231196061</v>
      </c>
      <c r="AG20" s="49">
        <f t="shared" ca="1" si="0"/>
        <v>0.58998837751103017</v>
      </c>
      <c r="AH20" s="49">
        <f t="shared" ca="1" si="0"/>
        <v>0.56966153235929662</v>
      </c>
      <c r="AI20" s="49">
        <f t="shared" ca="1" si="0"/>
        <v>0.59527694543901299</v>
      </c>
      <c r="AJ20" s="49">
        <f t="shared" ca="1" si="0"/>
        <v>0.62102677668197948</v>
      </c>
      <c r="AK20" s="49">
        <f t="shared" ca="1" si="0"/>
        <v>0.59074373460430907</v>
      </c>
      <c r="AL20" s="49">
        <f t="shared" ca="1" si="0"/>
        <v>0.60910161662076345</v>
      </c>
      <c r="AM20" s="49">
        <f t="shared" ca="1" si="0"/>
        <v>0.62840151085521345</v>
      </c>
      <c r="AN20" s="49">
        <f t="shared" ca="1" si="0"/>
        <v>0.60729568587502225</v>
      </c>
      <c r="AO20" s="49">
        <f t="shared" ca="1" si="0"/>
        <v>0.63907751167861016</v>
      </c>
      <c r="AP20" s="49">
        <f t="shared" ca="1" si="0"/>
        <v>0.67015149796168094</v>
      </c>
    </row>
    <row r="21" spans="2:49" s="48" customFormat="1" ht="10.5" x14ac:dyDescent="0.25">
      <c r="B21" s="48" t="s">
        <v>66</v>
      </c>
      <c r="C21" s="48">
        <v>0</v>
      </c>
      <c r="D21" s="48">
        <v>0</v>
      </c>
      <c r="E21" s="48">
        <v>0</v>
      </c>
      <c r="F21" s="48">
        <v>0</v>
      </c>
      <c r="G21" s="48">
        <v>0</v>
      </c>
      <c r="H21" s="48">
        <v>0</v>
      </c>
      <c r="I21" s="48">
        <v>0</v>
      </c>
      <c r="J21" s="48">
        <v>7.8453373178974606E-2</v>
      </c>
      <c r="K21" s="48">
        <v>1.33922478735535E-2</v>
      </c>
      <c r="L21" s="48">
        <v>0.42933716546891598</v>
      </c>
      <c r="M21" s="48">
        <v>0.19710387153607301</v>
      </c>
      <c r="N21" s="48">
        <v>0.429753400246283</v>
      </c>
      <c r="O21" s="48">
        <v>0.72714377137915998</v>
      </c>
      <c r="P21" s="48">
        <v>0.45010997356819199</v>
      </c>
      <c r="Q21" s="48">
        <v>0.51507428628183105</v>
      </c>
      <c r="R21" s="48">
        <v>1.0189204191568499</v>
      </c>
      <c r="S21" s="48">
        <v>0.67844925900940301</v>
      </c>
      <c r="T21" s="48">
        <v>1.2937124093619401</v>
      </c>
      <c r="U21" s="48">
        <v>2.0003227633845899</v>
      </c>
      <c r="W21" s="48" t="s">
        <v>66</v>
      </c>
      <c r="X21" s="49">
        <f t="shared" ca="1" si="1"/>
        <v>0.41484224398304331</v>
      </c>
      <c r="Y21" s="49">
        <f t="shared" ca="1" si="0"/>
        <v>0.39993621933363221</v>
      </c>
      <c r="Z21" s="49">
        <f t="shared" ca="1" si="0"/>
        <v>0.3753426671256872</v>
      </c>
      <c r="AA21" s="49">
        <f t="shared" ca="1" si="0"/>
        <v>0.38788826345088839</v>
      </c>
      <c r="AB21" s="49">
        <f t="shared" ca="1" si="0"/>
        <v>0.33451469849862581</v>
      </c>
      <c r="AC21" s="49">
        <f t="shared" ca="1" si="0"/>
        <v>0.34277264310407424</v>
      </c>
      <c r="AD21" s="49">
        <f t="shared" ca="1" si="0"/>
        <v>0.33517797868988403</v>
      </c>
      <c r="AE21" s="49">
        <f t="shared" ca="1" si="0"/>
        <v>0.34124199131693078</v>
      </c>
      <c r="AF21" s="49">
        <f t="shared" ca="1" si="0"/>
        <v>0.34072421569933631</v>
      </c>
      <c r="AG21" s="49">
        <f t="shared" ca="1" si="0"/>
        <v>0.34604494520609724</v>
      </c>
      <c r="AH21" s="49">
        <f t="shared" ca="1" si="0"/>
        <v>0.36122867349858417</v>
      </c>
      <c r="AI21" s="49">
        <f t="shared" ca="1" si="0"/>
        <v>0.36859980982651563</v>
      </c>
      <c r="AJ21" s="49">
        <f t="shared" ca="1" si="0"/>
        <v>0.36271181970695648</v>
      </c>
      <c r="AK21" s="49">
        <f t="shared" ca="1" si="0"/>
        <v>0.36469937711689787</v>
      </c>
      <c r="AL21" s="49">
        <f t="shared" ca="1" si="0"/>
        <v>0.38344088272751736</v>
      </c>
      <c r="AM21" s="49">
        <f t="shared" ca="1" si="0"/>
        <v>0.36643648288194625</v>
      </c>
      <c r="AN21" s="49">
        <f t="shared" ca="1" si="0"/>
        <v>0.36908146264863434</v>
      </c>
      <c r="AO21" s="49">
        <f t="shared" ca="1" si="0"/>
        <v>0.38484847668961036</v>
      </c>
      <c r="AP21" s="49">
        <f t="shared" ca="1" si="0"/>
        <v>0.41331591529754352</v>
      </c>
    </row>
    <row r="22" spans="2:49" s="48" customFormat="1" ht="10.5" x14ac:dyDescent="0.25">
      <c r="B22" s="48" t="s">
        <v>67</v>
      </c>
      <c r="C22" s="48">
        <v>3.5878042702872301E-2</v>
      </c>
      <c r="D22" s="48">
        <v>4.1033308269460202E-2</v>
      </c>
      <c r="E22" s="48">
        <v>5.1978192560004001E-2</v>
      </c>
      <c r="F22" s="48">
        <v>5.1555706653720897E-2</v>
      </c>
      <c r="G22" s="48">
        <v>6.32874471745591E-2</v>
      </c>
      <c r="H22" s="48">
        <v>7.4819829095519E-2</v>
      </c>
      <c r="I22" s="48">
        <v>8.2111284134195897E-2</v>
      </c>
      <c r="J22" s="48">
        <v>0.19928630823360899</v>
      </c>
      <c r="K22" s="48">
        <v>0.19605511252777599</v>
      </c>
      <c r="L22" s="48">
        <v>0.48245175125833201</v>
      </c>
      <c r="M22" s="48">
        <v>0.37260812419964001</v>
      </c>
      <c r="N22" s="48">
        <v>0.72728319629726101</v>
      </c>
      <c r="O22" s="48">
        <v>0.79326332721972703</v>
      </c>
      <c r="P22" s="48">
        <v>0.81028821308073595</v>
      </c>
      <c r="Q22" s="48">
        <v>0.77545723975063496</v>
      </c>
      <c r="R22" s="48">
        <v>1.13036742625817</v>
      </c>
      <c r="S22" s="48">
        <v>0.96316310684842299</v>
      </c>
      <c r="T22" s="48">
        <v>1.50218180354677</v>
      </c>
      <c r="U22" s="48">
        <v>2.6132892379771699</v>
      </c>
      <c r="W22" s="48" t="s">
        <v>67</v>
      </c>
      <c r="X22" s="49">
        <f t="shared" ca="1" si="1"/>
        <v>0.44523739718906657</v>
      </c>
      <c r="Y22" s="49">
        <f t="shared" ca="1" si="0"/>
        <v>0.44557141471205902</v>
      </c>
      <c r="Z22" s="49">
        <f t="shared" ca="1" si="0"/>
        <v>0.42915493427632123</v>
      </c>
      <c r="AA22" s="49">
        <f t="shared" ca="1" si="0"/>
        <v>0.43886809639123564</v>
      </c>
      <c r="AB22" s="49">
        <f t="shared" ca="1" si="0"/>
        <v>0.40866182677956769</v>
      </c>
      <c r="AC22" s="49">
        <f t="shared" ca="1" si="0"/>
        <v>0.42879048347869786</v>
      </c>
      <c r="AD22" s="49">
        <f t="shared" ca="1" si="0"/>
        <v>0.43018779695005072</v>
      </c>
      <c r="AE22" s="49">
        <f t="shared" ca="1" si="0"/>
        <v>0.39296849198031636</v>
      </c>
      <c r="AF22" s="49">
        <f t="shared" ca="1" si="0"/>
        <v>0.36813541344700462</v>
      </c>
      <c r="AG22" s="49">
        <f t="shared" ca="1" si="0"/>
        <v>0.36567371150080197</v>
      </c>
      <c r="AH22" s="49">
        <f t="shared" ca="1" si="0"/>
        <v>0.37759002764682409</v>
      </c>
      <c r="AI22" s="49">
        <f t="shared" ca="1" si="0"/>
        <v>0.37855200628677244</v>
      </c>
      <c r="AJ22" s="49">
        <f t="shared" ca="1" si="0"/>
        <v>0.38310795524992919</v>
      </c>
      <c r="AK22" s="49">
        <f t="shared" ca="1" si="0"/>
        <v>0.38149322123997392</v>
      </c>
      <c r="AL22" s="49">
        <f t="shared" ca="1" si="0"/>
        <v>0.37797064300706551</v>
      </c>
      <c r="AM22" s="49">
        <f t="shared" ca="1" si="0"/>
        <v>0.38302191428810378</v>
      </c>
      <c r="AN22" s="49">
        <f t="shared" ca="1" si="0"/>
        <v>0.36853344400423965</v>
      </c>
      <c r="AO22" s="49">
        <f t="shared" ca="1" si="0"/>
        <v>0.38294873947215852</v>
      </c>
      <c r="AP22" s="49">
        <f t="shared" ca="1" si="0"/>
        <v>0.41404286079681119</v>
      </c>
    </row>
    <row r="23" spans="2:49" s="48" customFormat="1" ht="10.5" x14ac:dyDescent="0.25">
      <c r="B23" s="48" t="s">
        <v>68</v>
      </c>
      <c r="C23" s="48">
        <v>0</v>
      </c>
      <c r="D23" s="48">
        <v>0</v>
      </c>
      <c r="E23" s="48">
        <v>0</v>
      </c>
      <c r="F23" s="48">
        <v>0</v>
      </c>
      <c r="G23" s="48">
        <v>0</v>
      </c>
      <c r="H23" s="48">
        <v>0</v>
      </c>
      <c r="I23" s="48">
        <v>0</v>
      </c>
      <c r="J23" s="48">
        <v>0.102435461047438</v>
      </c>
      <c r="K23" s="48">
        <v>6.9165037447038004E-3</v>
      </c>
      <c r="L23" s="48">
        <v>2.31047308737962</v>
      </c>
      <c r="M23" s="48">
        <v>0.701696912975037</v>
      </c>
      <c r="N23" s="48">
        <v>1.13827894616898</v>
      </c>
      <c r="O23" s="48">
        <v>4.3147975250760897</v>
      </c>
      <c r="P23" s="48">
        <v>1.9585535773815701</v>
      </c>
      <c r="Q23" s="48">
        <v>1.0915125327168</v>
      </c>
      <c r="R23" s="48">
        <v>5.7413860100574698</v>
      </c>
      <c r="S23" s="48">
        <v>3.4050620163969798</v>
      </c>
      <c r="T23" s="48">
        <v>5.4855609854425902</v>
      </c>
      <c r="U23" s="48">
        <v>5.9258117889766497</v>
      </c>
      <c r="W23" s="48" t="s">
        <v>68</v>
      </c>
      <c r="X23" s="49">
        <f t="shared" ca="1" si="1"/>
        <v>0.23825437685348269</v>
      </c>
      <c r="Y23" s="49">
        <f t="shared" ca="1" si="0"/>
        <v>0.2539998819223051</v>
      </c>
      <c r="Z23" s="49">
        <f t="shared" ca="1" si="0"/>
        <v>0.21326238582420776</v>
      </c>
      <c r="AA23" s="49">
        <f t="shared" ca="1" si="0"/>
        <v>0.23873250636132287</v>
      </c>
      <c r="AB23" s="49">
        <f t="shared" ca="1" si="0"/>
        <v>0.20128086183446087</v>
      </c>
      <c r="AC23" s="49">
        <f t="shared" ca="1" si="0"/>
        <v>0.21491020692382418</v>
      </c>
      <c r="AD23" s="49">
        <f t="shared" ca="1" si="0"/>
        <v>0.23806337814001577</v>
      </c>
      <c r="AE23" s="49">
        <f t="shared" ca="1" si="0"/>
        <v>0.20517909112422533</v>
      </c>
      <c r="AF23" s="49">
        <f t="shared" ca="1" si="0"/>
        <v>0.17640457505605206</v>
      </c>
      <c r="AG23" s="49">
        <f t="shared" ca="1" si="0"/>
        <v>0.23721547257310008</v>
      </c>
      <c r="AH23" s="49">
        <f t="shared" ca="1" si="0"/>
        <v>0.20811178030879815</v>
      </c>
      <c r="AI23" s="49">
        <f t="shared" ca="1" si="0"/>
        <v>0.21406706605156611</v>
      </c>
      <c r="AJ23" s="49">
        <f t="shared" ca="1" si="0"/>
        <v>0.27681451841869059</v>
      </c>
      <c r="AK23" s="49">
        <f t="shared" ca="1" si="0"/>
        <v>0.2374641157072292</v>
      </c>
      <c r="AL23" s="49">
        <f t="shared" ca="1" si="0"/>
        <v>0.2152210728502581</v>
      </c>
      <c r="AM23" s="49">
        <f t="shared" ca="1" si="0"/>
        <v>0.3122908161661197</v>
      </c>
      <c r="AN23" s="49">
        <f t="shared" ca="1" si="0"/>
        <v>0.27669431213898588</v>
      </c>
      <c r="AO23" s="49">
        <f t="shared" ca="1" si="0"/>
        <v>0.28961419707123587</v>
      </c>
      <c r="AP23" s="49">
        <f t="shared" ca="1" si="0"/>
        <v>0.32447192992768054</v>
      </c>
    </row>
    <row r="24" spans="2:49" s="48" customFormat="1" ht="10.5" x14ac:dyDescent="0.25">
      <c r="B24" s="48" t="s">
        <v>69</v>
      </c>
      <c r="C24" s="48">
        <v>0.163686104683546</v>
      </c>
      <c r="D24" s="48">
        <v>0.175567723671154</v>
      </c>
      <c r="E24" s="48">
        <v>0.21323003696554199</v>
      </c>
      <c r="F24" s="48">
        <v>0.213279129385787</v>
      </c>
      <c r="G24" s="48">
        <v>0.17346646394128901</v>
      </c>
      <c r="H24" s="48">
        <v>0.15159782144730699</v>
      </c>
      <c r="I24" s="48">
        <v>0.196420115940732</v>
      </c>
      <c r="J24" s="48">
        <v>0.33453077924757402</v>
      </c>
      <c r="K24" s="48">
        <v>0.43464772922228501</v>
      </c>
      <c r="L24" s="48">
        <v>0.73093630249062602</v>
      </c>
      <c r="M24" s="48">
        <v>0.4372996012541</v>
      </c>
      <c r="N24" s="48">
        <v>0.80404525615882005</v>
      </c>
      <c r="O24" s="48">
        <v>1.0418224439785899</v>
      </c>
      <c r="P24" s="48">
        <v>0.778740064222321</v>
      </c>
      <c r="Q24" s="48">
        <v>0.81018313690059895</v>
      </c>
      <c r="R24" s="48">
        <v>1.29462244372673</v>
      </c>
      <c r="S24" s="48">
        <v>1.0716698759188501</v>
      </c>
      <c r="T24" s="48">
        <v>1.5462533153206499</v>
      </c>
      <c r="U24" s="48">
        <v>2.3180412029222799</v>
      </c>
      <c r="W24" s="48" t="s">
        <v>69</v>
      </c>
      <c r="X24" s="49">
        <f t="shared" ca="1" si="1"/>
        <v>0.5267960962230781</v>
      </c>
      <c r="Y24" s="49">
        <f t="shared" ca="1" si="0"/>
        <v>0.5100999418572375</v>
      </c>
      <c r="Z24" s="49">
        <f t="shared" ca="1" si="0"/>
        <v>0.50096198985594453</v>
      </c>
      <c r="AA24" s="49">
        <f t="shared" ca="1" si="0"/>
        <v>0.50666373110969598</v>
      </c>
      <c r="AB24" s="49">
        <f t="shared" ca="1" si="0"/>
        <v>0.43812220004018804</v>
      </c>
      <c r="AC24" s="49">
        <f t="shared" ca="1" si="0"/>
        <v>0.42179707866886723</v>
      </c>
      <c r="AD24" s="49">
        <f t="shared" ca="1" si="0"/>
        <v>0.43039219032064074</v>
      </c>
      <c r="AE24" s="49">
        <f t="shared" ca="1" si="0"/>
        <v>0.42109153566193747</v>
      </c>
      <c r="AF24" s="49">
        <f t="shared" ca="1" si="0"/>
        <v>0.41751339581436303</v>
      </c>
      <c r="AG24" s="49">
        <f t="shared" ca="1" si="0"/>
        <v>0.43398302306280878</v>
      </c>
      <c r="AH24" s="49">
        <f t="shared" ca="1" si="0"/>
        <v>0.41878508309328155</v>
      </c>
      <c r="AI24" s="49">
        <f t="shared" ca="1" si="0"/>
        <v>0.44383015594014003</v>
      </c>
      <c r="AJ24" s="49">
        <f t="shared" ca="1" si="0"/>
        <v>0.43580702256040244</v>
      </c>
      <c r="AK24" s="49">
        <f t="shared" ca="1" si="0"/>
        <v>0.42950799044899818</v>
      </c>
      <c r="AL24" s="49">
        <f t="shared" ca="1" si="0"/>
        <v>0.4478437226695775</v>
      </c>
      <c r="AM24" s="49">
        <f t="shared" ca="1" si="0"/>
        <v>0.44252153890556434</v>
      </c>
      <c r="AN24" s="49">
        <f t="shared" ca="1" si="0"/>
        <v>0.43837294885877764</v>
      </c>
      <c r="AO24" s="49">
        <f t="shared" ca="1" si="0"/>
        <v>0.44862602632456744</v>
      </c>
      <c r="AP24" s="49">
        <f t="shared" ca="1" si="0"/>
        <v>0.46924894307280707</v>
      </c>
    </row>
    <row r="25" spans="2:49" s="48" customFormat="1" ht="10.5" x14ac:dyDescent="0.25">
      <c r="X25" s="49"/>
      <c r="Y25" s="49"/>
      <c r="Z25" s="49"/>
      <c r="AA25" s="49"/>
      <c r="AB25" s="49"/>
      <c r="AC25" s="49"/>
      <c r="AD25" s="49"/>
      <c r="AE25" s="49"/>
      <c r="AF25" s="49"/>
      <c r="AG25" s="49"/>
      <c r="AH25" s="49"/>
      <c r="AI25" s="49"/>
      <c r="AJ25" s="49"/>
      <c r="AK25" s="49"/>
      <c r="AL25" s="49"/>
      <c r="AM25" s="49"/>
      <c r="AN25" s="49"/>
      <c r="AO25" s="49"/>
      <c r="AP25" s="49"/>
    </row>
    <row r="26" spans="2:49" s="48" customFormat="1" ht="10.5" x14ac:dyDescent="0.25">
      <c r="C26" s="48" t="s">
        <v>0</v>
      </c>
      <c r="X26" s="49"/>
      <c r="Y26" s="49"/>
      <c r="Z26" s="49"/>
      <c r="AA26" s="49"/>
      <c r="AB26" s="49"/>
      <c r="AC26" s="49"/>
      <c r="AD26" s="49"/>
      <c r="AE26" s="49"/>
      <c r="AF26" s="49"/>
      <c r="AG26" s="49"/>
      <c r="AH26" s="49"/>
      <c r="AI26" s="49"/>
      <c r="AJ26" s="49"/>
      <c r="AK26" s="49"/>
      <c r="AL26" s="49"/>
      <c r="AM26" s="49"/>
      <c r="AN26" s="49"/>
      <c r="AO26" s="49"/>
      <c r="AP26" s="49"/>
    </row>
    <row r="27" spans="2:49" s="48" customFormat="1" ht="10.5" x14ac:dyDescent="0.25">
      <c r="C27" s="48" t="s">
        <v>0</v>
      </c>
      <c r="X27" s="49"/>
      <c r="Y27" s="49"/>
      <c r="Z27" s="49"/>
      <c r="AA27" s="49"/>
      <c r="AB27" s="49"/>
      <c r="AC27" s="49"/>
      <c r="AD27" s="49"/>
      <c r="AE27" s="49"/>
      <c r="AF27" s="49"/>
      <c r="AG27" s="49"/>
      <c r="AH27" s="49"/>
      <c r="AI27" s="49"/>
      <c r="AJ27" s="49"/>
      <c r="AK27" s="49"/>
      <c r="AL27" s="49"/>
      <c r="AM27" s="49"/>
      <c r="AN27" s="49"/>
      <c r="AO27" s="49"/>
      <c r="AP27" s="49"/>
    </row>
    <row r="28" spans="2:49" s="48" customFormat="1" ht="10.5" x14ac:dyDescent="0.25">
      <c r="X28" s="49"/>
      <c r="Y28" s="49"/>
      <c r="Z28" s="49"/>
      <c r="AA28" s="49"/>
      <c r="AB28" s="49"/>
      <c r="AC28" s="49"/>
      <c r="AD28" s="49"/>
      <c r="AE28" s="49"/>
      <c r="AF28" s="49"/>
      <c r="AG28" s="49"/>
      <c r="AH28" s="49"/>
      <c r="AI28" s="49"/>
      <c r="AJ28" s="49"/>
      <c r="AK28" s="49"/>
      <c r="AL28" s="49"/>
      <c r="AM28" s="49"/>
      <c r="AN28" s="49"/>
      <c r="AO28" s="49"/>
      <c r="AP28" s="49"/>
    </row>
    <row r="29" spans="2:49" s="48" customFormat="1" ht="10.5" x14ac:dyDescent="0.25">
      <c r="B29" s="48" t="s">
        <v>70</v>
      </c>
      <c r="C29" s="48" t="s">
        <v>71</v>
      </c>
      <c r="W29" s="48" t="s">
        <v>72</v>
      </c>
      <c r="X29" s="49"/>
      <c r="Y29" s="49"/>
      <c r="Z29" s="49"/>
      <c r="AA29" s="49"/>
      <c r="AB29" s="49"/>
      <c r="AC29" s="49"/>
      <c r="AD29" s="49"/>
      <c r="AE29" s="49"/>
      <c r="AF29" s="49"/>
      <c r="AG29" s="49"/>
      <c r="AH29" s="49"/>
      <c r="AI29" s="49"/>
      <c r="AJ29" s="49"/>
      <c r="AK29" s="49"/>
      <c r="AL29" s="49"/>
      <c r="AM29" s="49"/>
      <c r="AN29" s="49"/>
      <c r="AO29" s="49"/>
      <c r="AP29" s="49"/>
    </row>
    <row r="30" spans="2:49" s="48" customFormat="1" ht="10.5" x14ac:dyDescent="0.25">
      <c r="B30" s="48" t="s">
        <v>38</v>
      </c>
      <c r="C30" s="48" t="s">
        <v>39</v>
      </c>
      <c r="D30" s="48" t="s">
        <v>40</v>
      </c>
      <c r="E30" s="48" t="s">
        <v>41</v>
      </c>
      <c r="F30" s="48" t="s">
        <v>42</v>
      </c>
      <c r="G30" s="48" t="s">
        <v>43</v>
      </c>
      <c r="H30" s="48" t="s">
        <v>44</v>
      </c>
      <c r="I30" s="48" t="s">
        <v>45</v>
      </c>
      <c r="J30" s="48" t="s">
        <v>46</v>
      </c>
      <c r="K30" s="48" t="s">
        <v>47</v>
      </c>
      <c r="L30" s="48" t="s">
        <v>48</v>
      </c>
      <c r="M30" s="48" t="s">
        <v>49</v>
      </c>
      <c r="N30" s="48" t="s">
        <v>50</v>
      </c>
      <c r="O30" s="48" t="s">
        <v>51</v>
      </c>
      <c r="P30" s="48" t="s">
        <v>52</v>
      </c>
      <c r="Q30" s="48" t="s">
        <v>53</v>
      </c>
      <c r="R30" s="48" t="s">
        <v>54</v>
      </c>
      <c r="S30" s="48" t="s">
        <v>55</v>
      </c>
      <c r="T30" s="48" t="s">
        <v>56</v>
      </c>
      <c r="U30" s="48" t="s">
        <v>57</v>
      </c>
      <c r="W30" s="48" t="s">
        <v>38</v>
      </c>
      <c r="X30" s="49" t="s">
        <v>39</v>
      </c>
      <c r="Y30" s="49" t="s">
        <v>40</v>
      </c>
      <c r="Z30" s="49" t="s">
        <v>41</v>
      </c>
      <c r="AA30" s="49" t="s">
        <v>42</v>
      </c>
      <c r="AB30" s="49" t="s">
        <v>43</v>
      </c>
      <c r="AC30" s="49" t="s">
        <v>44</v>
      </c>
      <c r="AD30" s="49" t="s">
        <v>45</v>
      </c>
      <c r="AE30" s="49" t="s">
        <v>46</v>
      </c>
      <c r="AF30" s="49" t="s">
        <v>47</v>
      </c>
      <c r="AG30" s="49" t="s">
        <v>48</v>
      </c>
      <c r="AH30" s="49" t="s">
        <v>49</v>
      </c>
      <c r="AI30" s="49" t="s">
        <v>50</v>
      </c>
      <c r="AJ30" s="49" t="s">
        <v>51</v>
      </c>
      <c r="AK30" s="49" t="s">
        <v>52</v>
      </c>
      <c r="AL30" s="49" t="s">
        <v>53</v>
      </c>
      <c r="AM30" s="49" t="s">
        <v>54</v>
      </c>
      <c r="AN30" s="49" t="s">
        <v>55</v>
      </c>
      <c r="AO30" s="49" t="s">
        <v>56</v>
      </c>
      <c r="AP30" s="49" t="s">
        <v>57</v>
      </c>
    </row>
    <row r="31" spans="2:49" s="48" customFormat="1" ht="10.5" x14ac:dyDescent="0.25">
      <c r="B31" s="48" t="s">
        <v>58</v>
      </c>
      <c r="C31" s="48">
        <v>1.6670146943208599</v>
      </c>
      <c r="D31" s="48">
        <v>1.7961270111254499</v>
      </c>
      <c r="E31" s="48">
        <v>1.7057742484096501</v>
      </c>
      <c r="F31" s="48">
        <v>1.7820766362401499</v>
      </c>
      <c r="G31" s="48">
        <v>1.7325350811745099</v>
      </c>
      <c r="H31" s="48">
        <v>1.81067495858384</v>
      </c>
      <c r="I31" s="48">
        <v>1.7917846347295401</v>
      </c>
      <c r="J31" s="48">
        <v>1.78177989292105</v>
      </c>
      <c r="K31" s="48">
        <v>2.3962866156965998</v>
      </c>
      <c r="L31" s="48">
        <v>1.79651583236324</v>
      </c>
      <c r="M31" s="48">
        <v>1.7853125375416301</v>
      </c>
      <c r="N31" s="48">
        <v>1.85070259783916</v>
      </c>
      <c r="O31" s="48">
        <v>1.77623853514598</v>
      </c>
      <c r="P31" s="48">
        <v>1.7881592160253901</v>
      </c>
      <c r="Q31" s="48">
        <v>1.7747583789813299</v>
      </c>
      <c r="R31" s="48">
        <v>1.81924762773111</v>
      </c>
      <c r="S31" s="48">
        <v>1.8374614845078501</v>
      </c>
      <c r="T31" s="48">
        <v>1.7776692738195801</v>
      </c>
      <c r="U31" s="48">
        <v>1.5582582037632899</v>
      </c>
      <c r="W31" s="48" t="s">
        <v>58</v>
      </c>
      <c r="X31" s="49">
        <f ca="1">ROUND(IF($K$3="90.1-2016_Pub",(($K$8+C16*$K$12)/(C31*$K$8+C45*$K$12))-0.05,(($K$8+C16*$K$12)/(C31*$K$8+C45*$K$12))),2)</f>
        <v>0.62</v>
      </c>
      <c r="Y31" s="49">
        <f t="shared" ref="Y31:AP39" ca="1" si="2">ROUND(IF($K$3="90.1-2016_Pub",(($K$8+D16*$K$12)/(D31*$K$8+D45*$K$12))-0.05,(($K$8+D16*$K$12)/(D31*$K$8+D45*$K$12))),2)</f>
        <v>0.57999999999999996</v>
      </c>
      <c r="Z31" s="49">
        <f t="shared" ca="1" si="2"/>
        <v>0.61</v>
      </c>
      <c r="AA31" s="49">
        <f t="shared" ca="1" si="2"/>
        <v>0.59</v>
      </c>
      <c r="AB31" s="49">
        <f t="shared" ca="1" si="2"/>
        <v>0.6</v>
      </c>
      <c r="AC31" s="49">
        <f t="shared" ca="1" si="2"/>
        <v>0.57999999999999996</v>
      </c>
      <c r="AD31" s="49">
        <f t="shared" ca="1" si="2"/>
        <v>0.6</v>
      </c>
      <c r="AE31" s="49">
        <f t="shared" ca="1" si="2"/>
        <v>0.59</v>
      </c>
      <c r="AF31" s="49">
        <f t="shared" ca="1" si="2"/>
        <v>0.49</v>
      </c>
      <c r="AG31" s="49">
        <f t="shared" ca="1" si="2"/>
        <v>0.55000000000000004</v>
      </c>
      <c r="AH31" s="49">
        <f t="shared" ca="1" si="2"/>
        <v>0.57999999999999996</v>
      </c>
      <c r="AI31" s="49">
        <f t="shared" ca="1" si="2"/>
        <v>0.56000000000000005</v>
      </c>
      <c r="AJ31" s="49">
        <f t="shared" ca="1" si="2"/>
        <v>0.53</v>
      </c>
      <c r="AK31" s="49">
        <f t="shared" ca="1" si="2"/>
        <v>0.56000000000000005</v>
      </c>
      <c r="AL31" s="49">
        <f t="shared" ca="1" si="2"/>
        <v>0.56999999999999995</v>
      </c>
      <c r="AM31" s="49">
        <f t="shared" ca="1" si="2"/>
        <v>0.51</v>
      </c>
      <c r="AN31" s="49">
        <f t="shared" ca="1" si="2"/>
        <v>0.53</v>
      </c>
      <c r="AO31" s="49">
        <f t="shared" ca="1" si="2"/>
        <v>0.53</v>
      </c>
      <c r="AP31" s="49">
        <f t="shared" ca="1" si="2"/>
        <v>0.56999999999999995</v>
      </c>
    </row>
    <row r="32" spans="2:49" s="48" customFormat="1" ht="10.5" x14ac:dyDescent="0.25">
      <c r="B32" s="48" t="s">
        <v>62</v>
      </c>
      <c r="C32" s="48">
        <v>1.6151969721944399</v>
      </c>
      <c r="D32" s="48">
        <v>1.6422329633597601</v>
      </c>
      <c r="E32" s="48">
        <v>1.6355328055941301</v>
      </c>
      <c r="F32" s="48">
        <v>1.62064872038528</v>
      </c>
      <c r="G32" s="48">
        <v>1.60747875166798</v>
      </c>
      <c r="H32" s="48">
        <v>1.6198439159334199</v>
      </c>
      <c r="I32" s="48">
        <v>1.6584608737254301</v>
      </c>
      <c r="J32" s="48">
        <v>1.66165152294353</v>
      </c>
      <c r="K32" s="48">
        <v>1.7391100681946401</v>
      </c>
      <c r="L32" s="48">
        <v>1.7077092701446701</v>
      </c>
      <c r="M32" s="48">
        <v>1.67771629572553</v>
      </c>
      <c r="N32" s="48">
        <v>1.6405680604122499</v>
      </c>
      <c r="O32" s="48">
        <v>1.61696696080015</v>
      </c>
      <c r="P32" s="48">
        <v>1.68737038603529</v>
      </c>
      <c r="Q32" s="48">
        <v>1.9099528782995101</v>
      </c>
      <c r="R32" s="48">
        <v>1.6255443116650199</v>
      </c>
      <c r="S32" s="48">
        <v>1.80994315689992</v>
      </c>
      <c r="T32" s="48">
        <v>1.80164219146472</v>
      </c>
      <c r="U32" s="48">
        <v>1.75688795543101</v>
      </c>
      <c r="W32" s="48" t="s">
        <v>62</v>
      </c>
      <c r="X32" s="49">
        <f t="shared" ref="X32:X39" ca="1" si="3">ROUND(IF($K$3="90.1-2016_Pub",(($K$8+C17*$K$12)/(C32*$K$8+C46*$K$12))-0.05,(($K$8+C17*$K$12)/(C32*$K$8+C46*$K$12))),2)</f>
        <v>0.57999999999999996</v>
      </c>
      <c r="Y32" s="49">
        <f t="shared" ca="1" si="2"/>
        <v>0.56999999999999995</v>
      </c>
      <c r="Z32" s="49">
        <f t="shared" ca="1" si="2"/>
        <v>0.56999999999999995</v>
      </c>
      <c r="AA32" s="49">
        <f t="shared" ca="1" si="2"/>
        <v>0.57999999999999996</v>
      </c>
      <c r="AB32" s="49">
        <f t="shared" ca="1" si="2"/>
        <v>0.57999999999999996</v>
      </c>
      <c r="AC32" s="49">
        <f t="shared" ca="1" si="2"/>
        <v>0.57999999999999996</v>
      </c>
      <c r="AD32" s="49">
        <f t="shared" ca="1" si="2"/>
        <v>0.56000000000000005</v>
      </c>
      <c r="AE32" s="49">
        <f t="shared" ca="1" si="2"/>
        <v>0.56999999999999995</v>
      </c>
      <c r="AF32" s="49">
        <f t="shared" ca="1" si="2"/>
        <v>0.54</v>
      </c>
      <c r="AG32" s="49">
        <f t="shared" ca="1" si="2"/>
        <v>0.54</v>
      </c>
      <c r="AH32" s="49">
        <f t="shared" ca="1" si="2"/>
        <v>0.56000000000000005</v>
      </c>
      <c r="AI32" s="49">
        <f t="shared" ca="1" si="2"/>
        <v>0.55000000000000004</v>
      </c>
      <c r="AJ32" s="49">
        <f t="shared" ca="1" si="2"/>
        <v>0.55000000000000004</v>
      </c>
      <c r="AK32" s="49">
        <f t="shared" ca="1" si="2"/>
        <v>0.55000000000000004</v>
      </c>
      <c r="AL32" s="49">
        <f t="shared" ca="1" si="2"/>
        <v>0.54</v>
      </c>
      <c r="AM32" s="49">
        <f t="shared" ca="1" si="2"/>
        <v>0.54</v>
      </c>
      <c r="AN32" s="49">
        <f t="shared" ca="1" si="2"/>
        <v>0.54</v>
      </c>
      <c r="AO32" s="49">
        <f t="shared" ca="1" si="2"/>
        <v>0.55000000000000004</v>
      </c>
      <c r="AP32" s="49">
        <f t="shared" ca="1" si="2"/>
        <v>0.56999999999999995</v>
      </c>
    </row>
    <row r="33" spans="2:42" s="48" customFormat="1" ht="10.5" x14ac:dyDescent="0.25">
      <c r="B33" s="48" t="s">
        <v>63</v>
      </c>
      <c r="C33" s="48">
        <v>1.7519665218004199</v>
      </c>
      <c r="D33" s="48">
        <v>1.80556640455907</v>
      </c>
      <c r="E33" s="48">
        <v>1.77840224051721</v>
      </c>
      <c r="F33" s="48">
        <v>1.8346090840128499</v>
      </c>
      <c r="G33" s="48">
        <v>1.8582718786680701</v>
      </c>
      <c r="H33" s="48">
        <v>1.93820080715793</v>
      </c>
      <c r="I33" s="48">
        <v>1.9339270060599301</v>
      </c>
      <c r="J33" s="48">
        <v>1.9229274296213501</v>
      </c>
      <c r="K33" s="48">
        <v>2.0153645681760102</v>
      </c>
      <c r="L33" s="48">
        <v>1.96053300021543</v>
      </c>
      <c r="M33" s="48">
        <v>2.0052774789230101</v>
      </c>
      <c r="N33" s="48">
        <v>2.0614452194950399</v>
      </c>
      <c r="O33" s="48">
        <v>1.94371057595918</v>
      </c>
      <c r="P33" s="48">
        <v>2.0049517144517801</v>
      </c>
      <c r="Q33" s="48">
        <v>2.03942034278885</v>
      </c>
      <c r="R33" s="48">
        <v>1.93698880355062</v>
      </c>
      <c r="S33" s="48">
        <v>1.9964742836082401</v>
      </c>
      <c r="T33" s="48">
        <v>1.98650688177063</v>
      </c>
      <c r="U33" s="48">
        <v>2.0037678715494001</v>
      </c>
      <c r="W33" s="48" t="s">
        <v>63</v>
      </c>
      <c r="X33" s="49">
        <f t="shared" ca="1" si="3"/>
        <v>0.59</v>
      </c>
      <c r="Y33" s="49">
        <f t="shared" ca="1" si="2"/>
        <v>0.56999999999999995</v>
      </c>
      <c r="Z33" s="49">
        <f t="shared" ca="1" si="2"/>
        <v>0.59</v>
      </c>
      <c r="AA33" s="49">
        <f t="shared" ca="1" si="2"/>
        <v>0.56999999999999995</v>
      </c>
      <c r="AB33" s="49">
        <f t="shared" ca="1" si="2"/>
        <v>0.56999999999999995</v>
      </c>
      <c r="AC33" s="49">
        <f t="shared" ca="1" si="2"/>
        <v>0.55000000000000004</v>
      </c>
      <c r="AD33" s="49">
        <f t="shared" ca="1" si="2"/>
        <v>0.56000000000000005</v>
      </c>
      <c r="AE33" s="49">
        <f t="shared" ca="1" si="2"/>
        <v>0.56000000000000005</v>
      </c>
      <c r="AF33" s="49">
        <f t="shared" ca="1" si="2"/>
        <v>0.55000000000000004</v>
      </c>
      <c r="AG33" s="49">
        <f t="shared" ca="1" si="2"/>
        <v>0.55000000000000004</v>
      </c>
      <c r="AH33" s="49">
        <f t="shared" ca="1" si="2"/>
        <v>0.55000000000000004</v>
      </c>
      <c r="AI33" s="49">
        <f t="shared" ca="1" si="2"/>
        <v>0.55000000000000004</v>
      </c>
      <c r="AJ33" s="49">
        <f t="shared" ca="1" si="2"/>
        <v>0.54</v>
      </c>
      <c r="AK33" s="49">
        <f t="shared" ca="1" si="2"/>
        <v>0.55000000000000004</v>
      </c>
      <c r="AL33" s="49">
        <f t="shared" ca="1" si="2"/>
        <v>0.55000000000000004</v>
      </c>
      <c r="AM33" s="49">
        <f t="shared" ca="1" si="2"/>
        <v>0.53</v>
      </c>
      <c r="AN33" s="49">
        <f t="shared" ca="1" si="2"/>
        <v>0.55000000000000004</v>
      </c>
      <c r="AO33" s="49">
        <f t="shared" ca="1" si="2"/>
        <v>0.54</v>
      </c>
      <c r="AP33" s="49">
        <f t="shared" ca="1" si="2"/>
        <v>0.54</v>
      </c>
    </row>
    <row r="34" spans="2:42" s="48" customFormat="1" ht="10.5" x14ac:dyDescent="0.25">
      <c r="B34" s="48" t="s">
        <v>64</v>
      </c>
      <c r="C34" s="48">
        <v>2.3359209414839199</v>
      </c>
      <c r="D34" s="48">
        <v>2.3937249160584502</v>
      </c>
      <c r="E34" s="48">
        <v>2.4802371899653002</v>
      </c>
      <c r="F34" s="48">
        <v>2.4637349487934301</v>
      </c>
      <c r="G34" s="48">
        <v>2.7087528233823401</v>
      </c>
      <c r="H34" s="48">
        <v>2.5785834234901399</v>
      </c>
      <c r="I34" s="48">
        <v>2.7160179906274702</v>
      </c>
      <c r="J34" s="48">
        <v>2.63664926458598</v>
      </c>
      <c r="K34" s="48">
        <v>2.8535958607819598</v>
      </c>
      <c r="L34" s="48">
        <v>2.9152508183162298</v>
      </c>
      <c r="M34" s="48">
        <v>2.7669835571164199</v>
      </c>
      <c r="N34" s="48">
        <v>2.87277316540942</v>
      </c>
      <c r="O34" s="48">
        <v>2.85239463507278</v>
      </c>
      <c r="P34" s="48">
        <v>2.8253416481578499</v>
      </c>
      <c r="Q34" s="48">
        <v>2.86856613048535</v>
      </c>
      <c r="R34" s="48">
        <v>2.8752392129926601</v>
      </c>
      <c r="S34" s="48">
        <v>2.9212546557430299</v>
      </c>
      <c r="T34" s="48">
        <v>2.9029667590927999</v>
      </c>
      <c r="U34" s="48">
        <v>2.8005668807422199</v>
      </c>
      <c r="W34" s="48" t="s">
        <v>64</v>
      </c>
      <c r="X34" s="49">
        <f t="shared" ca="1" si="3"/>
        <v>0.43</v>
      </c>
      <c r="Y34" s="49">
        <f t="shared" ca="1" si="2"/>
        <v>0.42</v>
      </c>
      <c r="Z34" s="49">
        <f t="shared" ca="1" si="2"/>
        <v>0.4</v>
      </c>
      <c r="AA34" s="49">
        <f t="shared" ca="1" si="2"/>
        <v>0.41</v>
      </c>
      <c r="AB34" s="49">
        <f t="shared" ca="1" si="2"/>
        <v>0.37</v>
      </c>
      <c r="AC34" s="49">
        <f t="shared" ca="1" si="2"/>
        <v>0.39</v>
      </c>
      <c r="AD34" s="49">
        <f t="shared" ca="1" si="2"/>
        <v>0.37</v>
      </c>
      <c r="AE34" s="49">
        <f t="shared" ca="1" si="2"/>
        <v>0.39</v>
      </c>
      <c r="AF34" s="49">
        <f t="shared" ca="1" si="2"/>
        <v>0.35</v>
      </c>
      <c r="AG34" s="49">
        <f t="shared" ca="1" si="2"/>
        <v>0.36</v>
      </c>
      <c r="AH34" s="49">
        <f t="shared" ca="1" si="2"/>
        <v>0.37</v>
      </c>
      <c r="AI34" s="49">
        <f t="shared" ca="1" si="2"/>
        <v>0.37</v>
      </c>
      <c r="AJ34" s="49">
        <f t="shared" ca="1" si="2"/>
        <v>0.38</v>
      </c>
      <c r="AK34" s="49">
        <f t="shared" ca="1" si="2"/>
        <v>0.38</v>
      </c>
      <c r="AL34" s="49">
        <f t="shared" ca="1" si="2"/>
        <v>0.38</v>
      </c>
      <c r="AM34" s="49">
        <f t="shared" ca="1" si="2"/>
        <v>0.4</v>
      </c>
      <c r="AN34" s="49">
        <f t="shared" ca="1" si="2"/>
        <v>0.38</v>
      </c>
      <c r="AO34" s="49">
        <f t="shared" ca="1" si="2"/>
        <v>0.37</v>
      </c>
      <c r="AP34" s="49">
        <f t="shared" ca="1" si="2"/>
        <v>0.41</v>
      </c>
    </row>
    <row r="35" spans="2:42" s="48" customFormat="1" ht="10.5" x14ac:dyDescent="0.25">
      <c r="B35" s="48" t="s">
        <v>65</v>
      </c>
      <c r="C35" s="48">
        <v>1.7648388158841399</v>
      </c>
      <c r="D35" s="48">
        <v>1.8394366455479101</v>
      </c>
      <c r="E35" s="48">
        <v>1.83224529327635</v>
      </c>
      <c r="F35" s="48">
        <v>1.85624995568123</v>
      </c>
      <c r="G35" s="48">
        <v>1.86880760148268</v>
      </c>
      <c r="H35" s="48">
        <v>1.88539007272045</v>
      </c>
      <c r="I35" s="48">
        <v>1.7651206218355699</v>
      </c>
      <c r="J35" s="48">
        <v>1.94271409362426</v>
      </c>
      <c r="K35" s="48">
        <v>1.9801125897710701</v>
      </c>
      <c r="L35" s="48">
        <v>1.98101696649213</v>
      </c>
      <c r="M35" s="48">
        <v>1.9804637062121</v>
      </c>
      <c r="N35" s="48">
        <v>1.9858881307087399</v>
      </c>
      <c r="O35" s="48">
        <v>1.9497630052546899</v>
      </c>
      <c r="P35" s="48">
        <v>1.97477545736482</v>
      </c>
      <c r="Q35" s="48">
        <v>1.9724427556181801</v>
      </c>
      <c r="R35" s="48">
        <v>1.97791982457727</v>
      </c>
      <c r="S35" s="48">
        <v>2.0290739700696001</v>
      </c>
      <c r="T35" s="48">
        <v>2.0351897301976201</v>
      </c>
      <c r="U35" s="48">
        <v>2.0404768528078598</v>
      </c>
      <c r="W35" s="48" t="s">
        <v>65</v>
      </c>
      <c r="X35" s="49">
        <f t="shared" ca="1" si="3"/>
        <v>0.57999999999999996</v>
      </c>
      <c r="Y35" s="49">
        <f t="shared" ca="1" si="2"/>
        <v>0.56000000000000005</v>
      </c>
      <c r="Z35" s="49">
        <f t="shared" ca="1" si="2"/>
        <v>0.56999999999999995</v>
      </c>
      <c r="AA35" s="49">
        <f t="shared" ca="1" si="2"/>
        <v>0.56000000000000005</v>
      </c>
      <c r="AB35" s="49">
        <f t="shared" ca="1" si="2"/>
        <v>0.56000000000000005</v>
      </c>
      <c r="AC35" s="49">
        <f t="shared" ca="1" si="2"/>
        <v>0.56000000000000005</v>
      </c>
      <c r="AD35" s="49">
        <f t="shared" ca="1" si="2"/>
        <v>0.6</v>
      </c>
      <c r="AE35" s="49">
        <f t="shared" ca="1" si="2"/>
        <v>0.59</v>
      </c>
      <c r="AF35" s="49">
        <f t="shared" ca="1" si="2"/>
        <v>0.56999999999999995</v>
      </c>
      <c r="AG35" s="49">
        <f t="shared" ca="1" si="2"/>
        <v>0.64</v>
      </c>
      <c r="AH35" s="49">
        <f t="shared" ca="1" si="2"/>
        <v>0.62</v>
      </c>
      <c r="AI35" s="49">
        <f t="shared" ca="1" si="2"/>
        <v>0.65</v>
      </c>
      <c r="AJ35" s="49">
        <f t="shared" ca="1" si="2"/>
        <v>0.68</v>
      </c>
      <c r="AK35" s="49">
        <f t="shared" ca="1" si="2"/>
        <v>0.64</v>
      </c>
      <c r="AL35" s="49">
        <f t="shared" ca="1" si="2"/>
        <v>0.67</v>
      </c>
      <c r="AM35" s="49">
        <f t="shared" ca="1" si="2"/>
        <v>0.69</v>
      </c>
      <c r="AN35" s="49">
        <f t="shared" ca="1" si="2"/>
        <v>0.67</v>
      </c>
      <c r="AO35" s="49">
        <f t="shared" ca="1" si="2"/>
        <v>0.7</v>
      </c>
      <c r="AP35" s="49">
        <f t="shared" ca="1" si="2"/>
        <v>0.73</v>
      </c>
    </row>
    <row r="36" spans="2:42" s="48" customFormat="1" ht="10.5" x14ac:dyDescent="0.25">
      <c r="B36" s="48" t="s">
        <v>66</v>
      </c>
      <c r="C36" s="48">
        <v>2.41055489045343</v>
      </c>
      <c r="D36" s="48">
        <v>2.5003986927370199</v>
      </c>
      <c r="E36" s="48">
        <v>2.6642321472744799</v>
      </c>
      <c r="F36" s="48">
        <v>2.5780620199832698</v>
      </c>
      <c r="G36" s="48">
        <v>2.9894052622746199</v>
      </c>
      <c r="H36" s="48">
        <v>2.91738567857755</v>
      </c>
      <c r="I36" s="48">
        <v>2.9834895595131798</v>
      </c>
      <c r="J36" s="48">
        <v>2.9808253248735399</v>
      </c>
      <c r="K36" s="48">
        <v>2.9438699418169199</v>
      </c>
      <c r="L36" s="48">
        <v>3.01747277504013</v>
      </c>
      <c r="M36" s="48">
        <v>2.8721598126346</v>
      </c>
      <c r="N36" s="48">
        <v>2.8972531604906102</v>
      </c>
      <c r="O36" s="48">
        <v>2.97072943343142</v>
      </c>
      <c r="P36" s="48">
        <v>2.9332839116821701</v>
      </c>
      <c r="Q36" s="48">
        <v>2.8173807557625201</v>
      </c>
      <c r="R36" s="48">
        <v>3.0104447950836901</v>
      </c>
      <c r="S36" s="48">
        <v>2.91503717190069</v>
      </c>
      <c r="T36" s="48">
        <v>2.92264516662632</v>
      </c>
      <c r="U36" s="48">
        <v>2.8386113324589499</v>
      </c>
      <c r="W36" s="48" t="s">
        <v>66</v>
      </c>
      <c r="X36" s="49">
        <f t="shared" ca="1" si="3"/>
        <v>0.41</v>
      </c>
      <c r="Y36" s="49">
        <f t="shared" ca="1" si="2"/>
        <v>0.4</v>
      </c>
      <c r="Z36" s="49">
        <f t="shared" ca="1" si="2"/>
        <v>0.38</v>
      </c>
      <c r="AA36" s="49">
        <f t="shared" ca="1" si="2"/>
        <v>0.39</v>
      </c>
      <c r="AB36" s="49">
        <f t="shared" ca="1" si="2"/>
        <v>0.33</v>
      </c>
      <c r="AC36" s="49">
        <f t="shared" ca="1" si="2"/>
        <v>0.34</v>
      </c>
      <c r="AD36" s="49">
        <f t="shared" ca="1" si="2"/>
        <v>0.34</v>
      </c>
      <c r="AE36" s="49">
        <f t="shared" ca="1" si="2"/>
        <v>0.35</v>
      </c>
      <c r="AF36" s="49">
        <f t="shared" ca="1" si="2"/>
        <v>0.34</v>
      </c>
      <c r="AG36" s="49">
        <f t="shared" ca="1" si="2"/>
        <v>0.36</v>
      </c>
      <c r="AH36" s="49">
        <f t="shared" ca="1" si="2"/>
        <v>0.37</v>
      </c>
      <c r="AI36" s="49">
        <f t="shared" ca="1" si="2"/>
        <v>0.39</v>
      </c>
      <c r="AJ36" s="49">
        <f t="shared" ca="1" si="2"/>
        <v>0.38</v>
      </c>
      <c r="AK36" s="49">
        <f t="shared" ca="1" si="2"/>
        <v>0.39</v>
      </c>
      <c r="AL36" s="49">
        <f t="shared" ca="1" si="2"/>
        <v>0.41</v>
      </c>
      <c r="AM36" s="49">
        <f t="shared" ca="1" si="2"/>
        <v>0.39</v>
      </c>
      <c r="AN36" s="49">
        <f t="shared" ca="1" si="2"/>
        <v>0.39</v>
      </c>
      <c r="AO36" s="49">
        <f t="shared" ca="1" si="2"/>
        <v>0.42</v>
      </c>
      <c r="AP36" s="49">
        <f t="shared" ca="1" si="2"/>
        <v>0.45</v>
      </c>
    </row>
    <row r="37" spans="2:42" s="48" customFormat="1" ht="10.5" x14ac:dyDescent="0.25">
      <c r="B37" s="48" t="s">
        <v>67</v>
      </c>
      <c r="C37" s="48">
        <v>2.2519377802457701</v>
      </c>
      <c r="D37" s="48">
        <v>2.2512003272971501</v>
      </c>
      <c r="E37" s="48">
        <v>2.3404228330416599</v>
      </c>
      <c r="F37" s="48">
        <v>2.2881673752828799</v>
      </c>
      <c r="G37" s="48">
        <v>2.4618595512653898</v>
      </c>
      <c r="H37" s="48">
        <v>2.3476010632137498</v>
      </c>
      <c r="I37" s="48">
        <v>2.3421889618171901</v>
      </c>
      <c r="J37" s="48">
        <v>2.60747033799296</v>
      </c>
      <c r="K37" s="48">
        <v>2.7885526617283398</v>
      </c>
      <c r="L37" s="48">
        <v>2.7040203164254102</v>
      </c>
      <c r="M37" s="48">
        <v>2.7584880558337801</v>
      </c>
      <c r="N37" s="48">
        <v>2.8592091741651999</v>
      </c>
      <c r="O37" s="48">
        <v>2.6258854447509798</v>
      </c>
      <c r="P37" s="48">
        <v>2.8329942175782601</v>
      </c>
      <c r="Q37" s="48">
        <v>2.8339507151389398</v>
      </c>
      <c r="R37" s="48">
        <v>2.62264185120311</v>
      </c>
      <c r="S37" s="48">
        <v>2.7790699594285599</v>
      </c>
      <c r="T37" s="48">
        <v>2.6416276682244999</v>
      </c>
      <c r="U37" s="48">
        <v>2.5989042254506098</v>
      </c>
      <c r="W37" s="48" t="s">
        <v>67</v>
      </c>
      <c r="X37" s="49">
        <f t="shared" ca="1" si="3"/>
        <v>0.45</v>
      </c>
      <c r="Y37" s="49">
        <f t="shared" ca="1" si="2"/>
        <v>0.45</v>
      </c>
      <c r="Z37" s="49">
        <f t="shared" ca="1" si="2"/>
        <v>0.43</v>
      </c>
      <c r="AA37" s="49">
        <f t="shared" ca="1" si="2"/>
        <v>0.44</v>
      </c>
      <c r="AB37" s="49">
        <f t="shared" ca="1" si="2"/>
        <v>0.41</v>
      </c>
      <c r="AC37" s="49">
        <f t="shared" ca="1" si="2"/>
        <v>0.43</v>
      </c>
      <c r="AD37" s="49">
        <f t="shared" ca="1" si="2"/>
        <v>0.43</v>
      </c>
      <c r="AE37" s="49">
        <f t="shared" ca="1" si="2"/>
        <v>0.4</v>
      </c>
      <c r="AF37" s="49">
        <f t="shared" ca="1" si="2"/>
        <v>0.38</v>
      </c>
      <c r="AG37" s="49">
        <f t="shared" ca="1" si="2"/>
        <v>0.36</v>
      </c>
      <c r="AH37" s="49">
        <f t="shared" ca="1" si="2"/>
        <v>0.39</v>
      </c>
      <c r="AI37" s="49">
        <f t="shared" ca="1" si="2"/>
        <v>0.4</v>
      </c>
      <c r="AJ37" s="49">
        <f t="shared" ca="1" si="2"/>
        <v>0.38</v>
      </c>
      <c r="AK37" s="49">
        <f t="shared" ca="1" si="2"/>
        <v>0.4</v>
      </c>
      <c r="AL37" s="49">
        <f t="shared" ca="1" si="2"/>
        <v>0.4</v>
      </c>
      <c r="AM37" s="49">
        <f t="shared" ca="1" si="2"/>
        <v>0.38</v>
      </c>
      <c r="AN37" s="49">
        <f t="shared" ca="1" si="2"/>
        <v>0.37</v>
      </c>
      <c r="AO37" s="49">
        <f t="shared" ca="1" si="2"/>
        <v>0.39</v>
      </c>
      <c r="AP37" s="49">
        <f t="shared" ca="1" si="2"/>
        <v>0.43</v>
      </c>
    </row>
    <row r="38" spans="2:42" s="48" customFormat="1" ht="10.5" x14ac:dyDescent="0.25">
      <c r="B38" s="48" t="s">
        <v>68</v>
      </c>
      <c r="C38" s="48">
        <v>4.1971946673406197</v>
      </c>
      <c r="D38" s="48">
        <v>3.93700970422453</v>
      </c>
      <c r="E38" s="48">
        <v>4.6890594238418597</v>
      </c>
      <c r="F38" s="48">
        <v>4.1887885954101902</v>
      </c>
      <c r="G38" s="48">
        <v>4.9681822250067098</v>
      </c>
      <c r="H38" s="48">
        <v>4.6531061242449701</v>
      </c>
      <c r="I38" s="48">
        <v>4.2005620848237104</v>
      </c>
      <c r="J38" s="48">
        <v>4.9796928006030896</v>
      </c>
      <c r="K38" s="48">
        <v>5.6777285688284902</v>
      </c>
      <c r="L38" s="48">
        <v>5.9306897884795902</v>
      </c>
      <c r="M38" s="48">
        <v>5.43793838000727</v>
      </c>
      <c r="N38" s="48">
        <v>5.6954878048780504</v>
      </c>
      <c r="O38" s="48">
        <v>6.2078335940668596</v>
      </c>
      <c r="P38" s="48">
        <v>5.6786982248520701</v>
      </c>
      <c r="Q38" s="48">
        <v>5.6452825460468601</v>
      </c>
      <c r="R38" s="48">
        <v>5.8897191697191698</v>
      </c>
      <c r="S38" s="48">
        <v>5.5309026233881697</v>
      </c>
      <c r="T38" s="48">
        <v>5.8988679245283002</v>
      </c>
      <c r="U38" s="48">
        <v>5.3333333333333304</v>
      </c>
      <c r="W38" s="48" t="s">
        <v>68</v>
      </c>
      <c r="X38" s="49">
        <f t="shared" ca="1" si="3"/>
        <v>0.24</v>
      </c>
      <c r="Y38" s="49">
        <f t="shared" ca="1" si="2"/>
        <v>0.25</v>
      </c>
      <c r="Z38" s="49">
        <f t="shared" ca="1" si="2"/>
        <v>0.21</v>
      </c>
      <c r="AA38" s="49">
        <f t="shared" ca="1" si="2"/>
        <v>0.24</v>
      </c>
      <c r="AB38" s="49">
        <f t="shared" ca="1" si="2"/>
        <v>0.2</v>
      </c>
      <c r="AC38" s="49">
        <f t="shared" ca="1" si="2"/>
        <v>0.21</v>
      </c>
      <c r="AD38" s="49">
        <f t="shared" ca="1" si="2"/>
        <v>0.24</v>
      </c>
      <c r="AE38" s="49">
        <f t="shared" ca="1" si="2"/>
        <v>0.21</v>
      </c>
      <c r="AF38" s="49">
        <f t="shared" ca="1" si="2"/>
        <v>0.18</v>
      </c>
      <c r="AG38" s="49">
        <f t="shared" ca="1" si="2"/>
        <v>0.28999999999999998</v>
      </c>
      <c r="AH38" s="49">
        <f t="shared" ca="1" si="2"/>
        <v>0.23</v>
      </c>
      <c r="AI38" s="49">
        <f t="shared" ca="1" si="2"/>
        <v>0.25</v>
      </c>
      <c r="AJ38" s="49">
        <f t="shared" ca="1" si="2"/>
        <v>0.36</v>
      </c>
      <c r="AK38" s="49">
        <f t="shared" ca="1" si="2"/>
        <v>0.28999999999999998</v>
      </c>
      <c r="AL38" s="49">
        <f t="shared" ca="1" si="2"/>
        <v>0.25</v>
      </c>
      <c r="AM38" s="49">
        <f t="shared" ca="1" si="2"/>
        <v>0.4</v>
      </c>
      <c r="AN38" s="49">
        <f t="shared" ca="1" si="2"/>
        <v>0.34</v>
      </c>
      <c r="AO38" s="49">
        <f t="shared" ca="1" si="2"/>
        <v>0.36</v>
      </c>
      <c r="AP38" s="49">
        <f t="shared" ca="1" si="2"/>
        <v>0.4</v>
      </c>
    </row>
    <row r="39" spans="2:42" s="48" customFormat="1" ht="10.5" x14ac:dyDescent="0.25">
      <c r="B39" s="48" t="s">
        <v>69</v>
      </c>
      <c r="C39" s="48">
        <v>1.91017651841742</v>
      </c>
      <c r="D39" s="48">
        <v>1.9753300539982901</v>
      </c>
      <c r="E39" s="48">
        <v>2.0236887060461499</v>
      </c>
      <c r="F39" s="48">
        <v>1.99583138318395</v>
      </c>
      <c r="G39" s="48">
        <v>2.3085451915614801</v>
      </c>
      <c r="H39" s="48">
        <v>2.39640987103741</v>
      </c>
      <c r="I39" s="48">
        <v>2.3578326596953398</v>
      </c>
      <c r="J39" s="48">
        <v>2.4562572225624502</v>
      </c>
      <c r="K39" s="48">
        <v>2.4882016185808902</v>
      </c>
      <c r="L39" s="48">
        <v>2.3830932494263601</v>
      </c>
      <c r="M39" s="48">
        <v>2.49366596485959</v>
      </c>
      <c r="N39" s="48">
        <v>2.3945126109763901</v>
      </c>
      <c r="O39" s="48">
        <v>2.4207868160577299</v>
      </c>
      <c r="P39" s="48">
        <v>2.4838925352133101</v>
      </c>
      <c r="Q39" s="48">
        <v>2.3979386054026799</v>
      </c>
      <c r="R39" s="48">
        <v>2.38180143717006</v>
      </c>
      <c r="S39" s="48">
        <v>2.41946118757427</v>
      </c>
      <c r="T39" s="48">
        <v>2.3854600511741499</v>
      </c>
      <c r="U39" s="48">
        <v>2.3961667320396698</v>
      </c>
      <c r="W39" s="48" t="s">
        <v>69</v>
      </c>
      <c r="X39" s="49">
        <f t="shared" ca="1" si="3"/>
        <v>0.53</v>
      </c>
      <c r="Y39" s="49">
        <f t="shared" ca="1" si="2"/>
        <v>0.51</v>
      </c>
      <c r="Z39" s="49">
        <f t="shared" ca="1" si="2"/>
        <v>0.51</v>
      </c>
      <c r="AA39" s="49">
        <f t="shared" ca="1" si="2"/>
        <v>0.51</v>
      </c>
      <c r="AB39" s="49">
        <f t="shared" ca="1" si="2"/>
        <v>0.44</v>
      </c>
      <c r="AC39" s="49">
        <f t="shared" ca="1" si="2"/>
        <v>0.43</v>
      </c>
      <c r="AD39" s="49">
        <f t="shared" ca="1" si="2"/>
        <v>0.44</v>
      </c>
      <c r="AE39" s="49">
        <f t="shared" ca="1" si="2"/>
        <v>0.43</v>
      </c>
      <c r="AF39" s="49">
        <f t="shared" ca="1" si="2"/>
        <v>0.43</v>
      </c>
      <c r="AG39" s="49">
        <f t="shared" ca="1" si="2"/>
        <v>0.44</v>
      </c>
      <c r="AH39" s="49">
        <f t="shared" ca="1" si="2"/>
        <v>0.43</v>
      </c>
      <c r="AI39" s="49">
        <f t="shared" ca="1" si="2"/>
        <v>0.46</v>
      </c>
      <c r="AJ39" s="49">
        <f t="shared" ca="1" si="2"/>
        <v>0.45</v>
      </c>
      <c r="AK39" s="49">
        <f t="shared" ca="1" si="2"/>
        <v>0.45</v>
      </c>
      <c r="AL39" s="49">
        <f t="shared" ca="1" si="2"/>
        <v>0.47</v>
      </c>
      <c r="AM39" s="49">
        <f t="shared" ca="1" si="2"/>
        <v>0.46</v>
      </c>
      <c r="AN39" s="49">
        <f t="shared" ca="1" si="2"/>
        <v>0.46</v>
      </c>
      <c r="AO39" s="49">
        <f t="shared" ca="1" si="2"/>
        <v>0.47</v>
      </c>
      <c r="AP39" s="49">
        <f t="shared" ca="1" si="2"/>
        <v>0.5</v>
      </c>
    </row>
    <row r="40" spans="2:42" s="48" customFormat="1" ht="10.5" x14ac:dyDescent="0.25">
      <c r="X40" s="49"/>
      <c r="Y40" s="49"/>
      <c r="Z40" s="49"/>
      <c r="AA40" s="49"/>
      <c r="AB40" s="49"/>
      <c r="AC40" s="49"/>
      <c r="AD40" s="49"/>
      <c r="AE40" s="49"/>
      <c r="AF40" s="49"/>
      <c r="AG40" s="49"/>
      <c r="AH40" s="49"/>
      <c r="AI40" s="49"/>
      <c r="AJ40" s="49"/>
      <c r="AK40" s="49"/>
      <c r="AL40" s="49"/>
      <c r="AM40" s="49"/>
      <c r="AN40" s="49"/>
      <c r="AO40" s="49"/>
      <c r="AP40" s="49"/>
    </row>
    <row r="41" spans="2:42" s="48" customFormat="1" ht="10.5" x14ac:dyDescent="0.25">
      <c r="X41" s="49"/>
      <c r="Y41" s="49"/>
      <c r="Z41" s="49"/>
      <c r="AA41" s="49"/>
      <c r="AB41" s="49"/>
      <c r="AC41" s="49"/>
      <c r="AD41" s="49"/>
      <c r="AE41" s="49"/>
      <c r="AF41" s="49"/>
      <c r="AG41" s="49"/>
      <c r="AH41" s="49"/>
      <c r="AI41" s="49"/>
      <c r="AJ41" s="49"/>
      <c r="AK41" s="49"/>
      <c r="AL41" s="49"/>
      <c r="AM41" s="49"/>
      <c r="AN41" s="49"/>
      <c r="AO41" s="49"/>
      <c r="AP41" s="49"/>
    </row>
    <row r="42" spans="2:42" s="48" customFormat="1" ht="10.5" x14ac:dyDescent="0.25">
      <c r="X42" s="49"/>
      <c r="Y42" s="49"/>
      <c r="Z42" s="49"/>
      <c r="AA42" s="49"/>
      <c r="AB42" s="49"/>
      <c r="AC42" s="49"/>
      <c r="AD42" s="49"/>
      <c r="AE42" s="49"/>
      <c r="AF42" s="49"/>
      <c r="AG42" s="49"/>
      <c r="AH42" s="49"/>
      <c r="AI42" s="49"/>
      <c r="AJ42" s="49"/>
      <c r="AK42" s="49"/>
      <c r="AL42" s="49"/>
      <c r="AM42" s="49"/>
      <c r="AN42" s="49"/>
      <c r="AO42" s="49"/>
      <c r="AP42" s="49"/>
    </row>
    <row r="43" spans="2:42" s="48" customFormat="1" ht="10.5" x14ac:dyDescent="0.25">
      <c r="X43" s="49"/>
      <c r="Y43" s="49"/>
      <c r="Z43" s="49"/>
      <c r="AA43" s="49"/>
      <c r="AB43" s="49"/>
      <c r="AC43" s="49"/>
      <c r="AD43" s="49"/>
      <c r="AE43" s="49"/>
      <c r="AF43" s="49"/>
      <c r="AG43" s="49"/>
      <c r="AH43" s="49"/>
      <c r="AI43" s="49"/>
      <c r="AJ43" s="49"/>
      <c r="AK43" s="49"/>
      <c r="AL43" s="49"/>
      <c r="AM43" s="49"/>
      <c r="AN43" s="49"/>
      <c r="AO43" s="49"/>
      <c r="AP43" s="49"/>
    </row>
    <row r="44" spans="2:42" s="48" customFormat="1" ht="10.5" x14ac:dyDescent="0.25">
      <c r="B44" s="48" t="s">
        <v>73</v>
      </c>
      <c r="C44" s="48" t="s">
        <v>74</v>
      </c>
      <c r="W44" s="48" t="s">
        <v>112</v>
      </c>
      <c r="X44" s="49"/>
      <c r="Y44" s="49"/>
      <c r="Z44" s="49"/>
      <c r="AA44" s="49"/>
      <c r="AB44" s="49"/>
      <c r="AC44" s="49"/>
      <c r="AD44" s="49"/>
      <c r="AE44" s="49"/>
      <c r="AF44" s="49"/>
      <c r="AG44" s="49"/>
      <c r="AH44" s="49"/>
      <c r="AI44" s="49"/>
      <c r="AJ44" s="49"/>
      <c r="AK44" s="49"/>
      <c r="AL44" s="49"/>
      <c r="AM44" s="49"/>
      <c r="AN44" s="49"/>
      <c r="AO44" s="49"/>
      <c r="AP44" s="49"/>
    </row>
    <row r="45" spans="2:42" s="48" customFormat="1" ht="10.5" x14ac:dyDescent="0.25">
      <c r="B45" s="48" t="s">
        <v>58</v>
      </c>
      <c r="C45" s="48">
        <v>0.37556982944017803</v>
      </c>
      <c r="D45" s="48">
        <v>0.40108077471148801</v>
      </c>
      <c r="E45" s="48">
        <v>0.51634377458237701</v>
      </c>
      <c r="F45" s="48">
        <v>0.49405768468042499</v>
      </c>
      <c r="G45" s="48">
        <v>0.62871798388582001</v>
      </c>
      <c r="H45" s="48">
        <v>0.65012420572010798</v>
      </c>
      <c r="I45" s="48">
        <v>0.83098088627416</v>
      </c>
      <c r="J45" s="48">
        <v>0.88308328148956905</v>
      </c>
      <c r="K45" s="48">
        <v>1.4563651304635901</v>
      </c>
      <c r="L45" s="48">
        <v>1.9289613191410999</v>
      </c>
      <c r="M45" s="48">
        <v>1.18516914001968</v>
      </c>
      <c r="N45" s="48">
        <v>1.9586988239824401</v>
      </c>
      <c r="O45" s="48">
        <v>2.7504802927535001</v>
      </c>
      <c r="P45" s="48">
        <v>1.75434534072116</v>
      </c>
      <c r="Q45" s="48">
        <v>2.0283304229702299</v>
      </c>
      <c r="R45" s="48">
        <v>3.2505185953929399</v>
      </c>
      <c r="S45" s="48">
        <v>2.6351081128001699</v>
      </c>
      <c r="T45" s="48">
        <v>3.5607940690348099</v>
      </c>
      <c r="U45" s="48">
        <v>4.0510343328288299</v>
      </c>
      <c r="W45" s="48" t="s">
        <v>38</v>
      </c>
      <c r="X45" s="49" t="s">
        <v>39</v>
      </c>
      <c r="Y45" s="49" t="s">
        <v>40</v>
      </c>
      <c r="Z45" s="49" t="s">
        <v>41</v>
      </c>
      <c r="AA45" s="49" t="s">
        <v>42</v>
      </c>
      <c r="AB45" s="49" t="s">
        <v>43</v>
      </c>
      <c r="AC45" s="49" t="s">
        <v>44</v>
      </c>
      <c r="AD45" s="49" t="s">
        <v>45</v>
      </c>
      <c r="AE45" s="49" t="s">
        <v>46</v>
      </c>
      <c r="AF45" s="49" t="s">
        <v>47</v>
      </c>
      <c r="AG45" s="49" t="s">
        <v>48</v>
      </c>
      <c r="AH45" s="49" t="s">
        <v>49</v>
      </c>
      <c r="AI45" s="49" t="s">
        <v>50</v>
      </c>
      <c r="AJ45" s="49" t="s">
        <v>51</v>
      </c>
      <c r="AK45" s="49" t="s">
        <v>52</v>
      </c>
      <c r="AL45" s="49" t="s">
        <v>53</v>
      </c>
      <c r="AM45" s="49" t="s">
        <v>54</v>
      </c>
      <c r="AN45" s="49" t="s">
        <v>55</v>
      </c>
      <c r="AO45" s="49" t="s">
        <v>56</v>
      </c>
      <c r="AP45" s="49" t="s">
        <v>57</v>
      </c>
    </row>
    <row r="46" spans="2:42" s="48" customFormat="1" ht="10.5" x14ac:dyDescent="0.25">
      <c r="B46" s="48" t="s">
        <v>62</v>
      </c>
      <c r="C46" s="48">
        <v>0.27151661608231797</v>
      </c>
      <c r="D46" s="48">
        <v>0.31492143237412001</v>
      </c>
      <c r="E46" s="48">
        <v>0.32488158921429899</v>
      </c>
      <c r="F46" s="48">
        <v>0.30542508997559797</v>
      </c>
      <c r="G46" s="48">
        <v>0.32116449003522302</v>
      </c>
      <c r="H46" s="48">
        <v>0.29482959529445202</v>
      </c>
      <c r="I46" s="48">
        <v>0.36958414232792802</v>
      </c>
      <c r="J46" s="48">
        <v>0.39543986509318801</v>
      </c>
      <c r="K46" s="48">
        <v>0.50114716212365296</v>
      </c>
      <c r="L46" s="48">
        <v>0.745519521888098</v>
      </c>
      <c r="M46" s="48">
        <v>0.51605689131654298</v>
      </c>
      <c r="N46" s="48">
        <v>0.80125593825451902</v>
      </c>
      <c r="O46" s="48">
        <v>0.98055918321413804</v>
      </c>
      <c r="P46" s="48">
        <v>0.72113623687147499</v>
      </c>
      <c r="Q46" s="48">
        <v>0.97587550299752102</v>
      </c>
      <c r="R46" s="48">
        <v>1.2596107213123899</v>
      </c>
      <c r="S46" s="48">
        <v>1.1348898133585199</v>
      </c>
      <c r="T46" s="48">
        <v>1.6311247381132301</v>
      </c>
      <c r="U46" s="48">
        <v>2.0720528664130802</v>
      </c>
      <c r="W46" s="48" t="s">
        <v>58</v>
      </c>
      <c r="X46" s="49">
        <f ca="1">ROUND(IF($K$3="90.1-2016_Pub",(($K$7+C16*$K$11)/(C31*$K$7+C45*$K$11))-0.05,(($K$7+C16*$K$11)/(C31*$K$7+C45*$K$11))),2)</f>
        <v>0.63</v>
      </c>
      <c r="Y46" s="49">
        <f t="shared" ref="Y46:AP54" ca="1" si="4">ROUND(IF($K$3="90.1-2016_Pub",(($K$7+D16*$K$11)/(D31*$K$7+D45*$K$11))-0.05,(($K$7+D16*$K$11)/(D31*$K$7+D45*$K$11))),2)</f>
        <v>0.59</v>
      </c>
      <c r="Z46" s="49">
        <f t="shared" ca="1" si="4"/>
        <v>0.63</v>
      </c>
      <c r="AA46" s="49">
        <f t="shared" ca="1" si="4"/>
        <v>0.61</v>
      </c>
      <c r="AB46" s="49">
        <f t="shared" ca="1" si="4"/>
        <v>0.63</v>
      </c>
      <c r="AC46" s="49">
        <f t="shared" ca="1" si="4"/>
        <v>0.61</v>
      </c>
      <c r="AD46" s="49">
        <f t="shared" ca="1" si="4"/>
        <v>0.62</v>
      </c>
      <c r="AE46" s="49">
        <f t="shared" ca="1" si="4"/>
        <v>0.62</v>
      </c>
      <c r="AF46" s="49">
        <f t="shared" ca="1" si="4"/>
        <v>0.54</v>
      </c>
      <c r="AG46" s="49">
        <f t="shared" ca="1" si="4"/>
        <v>0.55000000000000004</v>
      </c>
      <c r="AH46" s="49">
        <f t="shared" ca="1" si="4"/>
        <v>0.6</v>
      </c>
      <c r="AI46" s="49">
        <f t="shared" ca="1" si="4"/>
        <v>0.56999999999999995</v>
      </c>
      <c r="AJ46" s="49">
        <f t="shared" ca="1" si="4"/>
        <v>0.52</v>
      </c>
      <c r="AK46" s="49">
        <f t="shared" ca="1" si="4"/>
        <v>0.56000000000000005</v>
      </c>
      <c r="AL46" s="49">
        <f t="shared" ca="1" si="4"/>
        <v>0.57999999999999996</v>
      </c>
      <c r="AM46" s="49">
        <f t="shared" ca="1" si="4"/>
        <v>0.5</v>
      </c>
      <c r="AN46" s="49">
        <f t="shared" ca="1" si="4"/>
        <v>0.52</v>
      </c>
      <c r="AO46" s="49">
        <f t="shared" ca="1" si="4"/>
        <v>0.51</v>
      </c>
      <c r="AP46" s="49">
        <f t="shared" ca="1" si="4"/>
        <v>0.56000000000000005</v>
      </c>
    </row>
    <row r="47" spans="2:42" s="48" customFormat="1" ht="10.5" x14ac:dyDescent="0.25">
      <c r="B47" s="48" t="s">
        <v>63</v>
      </c>
      <c r="C47" s="48">
        <v>0.428293193768647</v>
      </c>
      <c r="D47" s="48">
        <v>0.455651073943803</v>
      </c>
      <c r="E47" s="48">
        <v>0.54922227917160604</v>
      </c>
      <c r="F47" s="48">
        <v>0.539078096669111</v>
      </c>
      <c r="G47" s="48">
        <v>0.64573623952471804</v>
      </c>
      <c r="H47" s="48">
        <v>0.726715147348586</v>
      </c>
      <c r="I47" s="48">
        <v>0.84085206125673195</v>
      </c>
      <c r="J47" s="48">
        <v>0.98638883564387603</v>
      </c>
      <c r="K47" s="48">
        <v>1.14061300026652</v>
      </c>
      <c r="L47" s="48">
        <v>1.5802770490617599</v>
      </c>
      <c r="M47" s="48">
        <v>1.3010826480384701</v>
      </c>
      <c r="N47" s="48">
        <v>1.7104658354450399</v>
      </c>
      <c r="O47" s="48">
        <v>2.1544207492886902</v>
      </c>
      <c r="P47" s="48">
        <v>1.72437191405697</v>
      </c>
      <c r="Q47" s="48">
        <v>1.91027163177958</v>
      </c>
      <c r="R47" s="48">
        <v>2.6212796679480999</v>
      </c>
      <c r="S47" s="48">
        <v>2.2890019974526901</v>
      </c>
      <c r="T47" s="48">
        <v>3.1352808372848702</v>
      </c>
      <c r="U47" s="48">
        <v>4.1453740672235098</v>
      </c>
      <c r="W47" s="48" t="s">
        <v>62</v>
      </c>
      <c r="X47" s="49">
        <f t="shared" ref="X47:X54" ca="1" si="5">ROUND(IF($K$3="90.1-2016_Pub",(($K$7+C17*$K$11)/(C32*$K$7+C46*$K$11))-0.05,(($K$7+C17*$K$11)/(C32*$K$7+C46*$K$11))),2)</f>
        <v>0.54</v>
      </c>
      <c r="Y47" s="49">
        <f t="shared" ca="1" si="4"/>
        <v>0.53</v>
      </c>
      <c r="Z47" s="49">
        <f t="shared" ca="1" si="4"/>
        <v>0.53</v>
      </c>
      <c r="AA47" s="49">
        <f t="shared" ca="1" si="4"/>
        <v>0.54</v>
      </c>
      <c r="AB47" s="49">
        <f t="shared" ca="1" si="4"/>
        <v>0.54</v>
      </c>
      <c r="AC47" s="49">
        <f t="shared" ca="1" si="4"/>
        <v>0.54</v>
      </c>
      <c r="AD47" s="49">
        <f t="shared" ca="1" si="4"/>
        <v>0.53</v>
      </c>
      <c r="AE47" s="49">
        <f t="shared" ca="1" si="4"/>
        <v>0.55000000000000004</v>
      </c>
      <c r="AF47" s="49">
        <f t="shared" ca="1" si="4"/>
        <v>0.51</v>
      </c>
      <c r="AG47" s="49">
        <f t="shared" ca="1" si="4"/>
        <v>0.5</v>
      </c>
      <c r="AH47" s="49">
        <f t="shared" ca="1" si="4"/>
        <v>0.52</v>
      </c>
      <c r="AI47" s="49">
        <f t="shared" ca="1" si="4"/>
        <v>0.51</v>
      </c>
      <c r="AJ47" s="49">
        <f t="shared" ca="1" si="4"/>
        <v>0.5</v>
      </c>
      <c r="AK47" s="49">
        <f t="shared" ca="1" si="4"/>
        <v>0.51</v>
      </c>
      <c r="AL47" s="49">
        <f t="shared" ca="1" si="4"/>
        <v>0.55000000000000004</v>
      </c>
      <c r="AM47" s="49">
        <f t="shared" ca="1" si="4"/>
        <v>0.5</v>
      </c>
      <c r="AN47" s="49">
        <f t="shared" ca="1" si="4"/>
        <v>0.53</v>
      </c>
      <c r="AO47" s="49">
        <f t="shared" ca="1" si="4"/>
        <v>0.55000000000000004</v>
      </c>
      <c r="AP47" s="49">
        <f t="shared" ca="1" si="4"/>
        <v>0.56999999999999995</v>
      </c>
    </row>
    <row r="48" spans="2:42" s="48" customFormat="1" ht="10.5" x14ac:dyDescent="0.25">
      <c r="B48" s="48" t="s">
        <v>64</v>
      </c>
      <c r="C48" s="48">
        <v>0</v>
      </c>
      <c r="D48" s="48">
        <v>0</v>
      </c>
      <c r="E48" s="48">
        <v>0</v>
      </c>
      <c r="F48" s="48">
        <v>0</v>
      </c>
      <c r="G48" s="48">
        <v>0</v>
      </c>
      <c r="H48" s="48">
        <v>0</v>
      </c>
      <c r="I48" s="48">
        <v>0</v>
      </c>
      <c r="J48" s="48">
        <v>8.70550229227426E-2</v>
      </c>
      <c r="K48" s="48">
        <v>7.5900367184783199E-2</v>
      </c>
      <c r="L48" s="48">
        <v>0.73035710862208802</v>
      </c>
      <c r="M48" s="48">
        <v>0.22918504079820501</v>
      </c>
      <c r="N48" s="48">
        <v>0.497454177332668</v>
      </c>
      <c r="O48" s="48">
        <v>1.0826459331506</v>
      </c>
      <c r="P48" s="48">
        <v>0.56229443559106396</v>
      </c>
      <c r="Q48" s="48">
        <v>0.49743920759545002</v>
      </c>
      <c r="R48" s="48">
        <v>1.64600068330009</v>
      </c>
      <c r="S48" s="48">
        <v>1.1578439878777</v>
      </c>
      <c r="T48" s="48">
        <v>1.9682997539662901</v>
      </c>
      <c r="U48" s="48">
        <v>2.76753451805273</v>
      </c>
      <c r="W48" s="48" t="s">
        <v>63</v>
      </c>
      <c r="X48" s="49">
        <f t="shared" ca="1" si="5"/>
        <v>0.6</v>
      </c>
      <c r="Y48" s="49">
        <f t="shared" ca="1" si="4"/>
        <v>0.59</v>
      </c>
      <c r="Z48" s="49">
        <f t="shared" ca="1" si="4"/>
        <v>0.61</v>
      </c>
      <c r="AA48" s="49">
        <f t="shared" ca="1" si="4"/>
        <v>0.59</v>
      </c>
      <c r="AB48" s="49">
        <f t="shared" ca="1" si="4"/>
        <v>0.59</v>
      </c>
      <c r="AC48" s="49">
        <f t="shared" ca="1" si="4"/>
        <v>0.57999999999999996</v>
      </c>
      <c r="AD48" s="49">
        <f t="shared" ca="1" si="4"/>
        <v>0.59</v>
      </c>
      <c r="AE48" s="49">
        <f t="shared" ca="1" si="4"/>
        <v>0.59</v>
      </c>
      <c r="AF48" s="49">
        <f t="shared" ca="1" si="4"/>
        <v>0.59</v>
      </c>
      <c r="AG48" s="49">
        <f t="shared" ca="1" si="4"/>
        <v>0.56999999999999995</v>
      </c>
      <c r="AH48" s="49">
        <f t="shared" ca="1" si="4"/>
        <v>0.59</v>
      </c>
      <c r="AI48" s="49">
        <f t="shared" ca="1" si="4"/>
        <v>0.57999999999999996</v>
      </c>
      <c r="AJ48" s="49">
        <f t="shared" ca="1" si="4"/>
        <v>0.55000000000000004</v>
      </c>
      <c r="AK48" s="49">
        <f t="shared" ca="1" si="4"/>
        <v>0.57999999999999996</v>
      </c>
      <c r="AL48" s="49">
        <f t="shared" ca="1" si="4"/>
        <v>0.59</v>
      </c>
      <c r="AM48" s="49">
        <f t="shared" ca="1" si="4"/>
        <v>0.54</v>
      </c>
      <c r="AN48" s="49">
        <f t="shared" ca="1" si="4"/>
        <v>0.56999999999999995</v>
      </c>
      <c r="AO48" s="49">
        <f t="shared" ca="1" si="4"/>
        <v>0.55000000000000004</v>
      </c>
      <c r="AP48" s="49">
        <f t="shared" ca="1" si="4"/>
        <v>0.56000000000000005</v>
      </c>
    </row>
    <row r="49" spans="2:42" s="48" customFormat="1" ht="10.5" x14ac:dyDescent="0.25">
      <c r="B49" s="48" t="s">
        <v>65</v>
      </c>
      <c r="C49" s="48">
        <v>0.375219748905951</v>
      </c>
      <c r="D49" s="48">
        <v>0.40445403257040602</v>
      </c>
      <c r="E49" s="48">
        <v>0.522409672199599</v>
      </c>
      <c r="F49" s="48">
        <v>0.48981344193448501</v>
      </c>
      <c r="G49" s="48">
        <v>0.60899258305432102</v>
      </c>
      <c r="H49" s="48">
        <v>0.66072621035315504</v>
      </c>
      <c r="I49" s="48">
        <v>0.74036254509552302</v>
      </c>
      <c r="J49" s="48">
        <v>1.0289812790095201</v>
      </c>
      <c r="K49" s="48">
        <v>1.19094335293529</v>
      </c>
      <c r="L49" s="48">
        <v>2.2384227963810099</v>
      </c>
      <c r="M49" s="48">
        <v>1.4982066105555301</v>
      </c>
      <c r="N49" s="48">
        <v>2.1679281852737402</v>
      </c>
      <c r="O49" s="48">
        <v>3.28658685647537</v>
      </c>
      <c r="P49" s="48">
        <v>2.22293671868719</v>
      </c>
      <c r="Q49" s="48">
        <v>2.6009111509608398</v>
      </c>
      <c r="R49" s="48">
        <v>4.2166092284410501</v>
      </c>
      <c r="S49" s="48">
        <v>3.3972174503202699</v>
      </c>
      <c r="T49" s="48">
        <v>5.4117759577966096</v>
      </c>
      <c r="U49" s="48">
        <v>7.7048306744001396</v>
      </c>
      <c r="W49" s="48" t="s">
        <v>64</v>
      </c>
      <c r="X49" s="49">
        <f t="shared" ca="1" si="5"/>
        <v>0.43</v>
      </c>
      <c r="Y49" s="49">
        <f t="shared" ca="1" si="4"/>
        <v>0.42</v>
      </c>
      <c r="Z49" s="49">
        <f t="shared" ca="1" si="4"/>
        <v>0.4</v>
      </c>
      <c r="AA49" s="49">
        <f t="shared" ca="1" si="4"/>
        <v>0.41</v>
      </c>
      <c r="AB49" s="49">
        <f t="shared" ca="1" si="4"/>
        <v>0.37</v>
      </c>
      <c r="AC49" s="49">
        <f t="shared" ca="1" si="4"/>
        <v>0.39</v>
      </c>
      <c r="AD49" s="49">
        <f t="shared" ca="1" si="4"/>
        <v>0.37</v>
      </c>
      <c r="AE49" s="49">
        <f t="shared" ca="1" si="4"/>
        <v>0.39</v>
      </c>
      <c r="AF49" s="49">
        <f t="shared" ca="1" si="4"/>
        <v>0.35</v>
      </c>
      <c r="AG49" s="49">
        <f t="shared" ca="1" si="4"/>
        <v>0.37</v>
      </c>
      <c r="AH49" s="49">
        <f t="shared" ca="1" si="4"/>
        <v>0.38</v>
      </c>
      <c r="AI49" s="49">
        <f t="shared" ca="1" si="4"/>
        <v>0.4</v>
      </c>
      <c r="AJ49" s="49">
        <f t="shared" ca="1" si="4"/>
        <v>0.4</v>
      </c>
      <c r="AK49" s="49">
        <f t="shared" ca="1" si="4"/>
        <v>0.4</v>
      </c>
      <c r="AL49" s="49">
        <f t="shared" ca="1" si="4"/>
        <v>0.41</v>
      </c>
      <c r="AM49" s="49">
        <f t="shared" ca="1" si="4"/>
        <v>0.43</v>
      </c>
      <c r="AN49" s="49">
        <f t="shared" ca="1" si="4"/>
        <v>0.41</v>
      </c>
      <c r="AO49" s="49">
        <f t="shared" ca="1" si="4"/>
        <v>0.39</v>
      </c>
      <c r="AP49" s="49">
        <f t="shared" ca="1" si="4"/>
        <v>0.43</v>
      </c>
    </row>
    <row r="50" spans="2:42" s="48" customFormat="1" ht="10.5" x14ac:dyDescent="0.25">
      <c r="B50" s="48" t="s">
        <v>66</v>
      </c>
      <c r="C50" s="48">
        <v>0</v>
      </c>
      <c r="D50" s="48">
        <v>0</v>
      </c>
      <c r="E50" s="48">
        <v>0</v>
      </c>
      <c r="F50" s="48">
        <v>0</v>
      </c>
      <c r="G50" s="48">
        <v>0</v>
      </c>
      <c r="H50" s="48">
        <v>0</v>
      </c>
      <c r="I50" s="48">
        <v>0</v>
      </c>
      <c r="J50" s="48">
        <v>3.2336439383498797E-2</v>
      </c>
      <c r="K50" s="48">
        <v>4.2083885039249404E-3</v>
      </c>
      <c r="L50" s="48">
        <v>0.73974928397349304</v>
      </c>
      <c r="M50" s="48">
        <v>0.13825686082585401</v>
      </c>
      <c r="N50" s="48">
        <v>0.44284656306963399</v>
      </c>
      <c r="O50" s="48">
        <v>1.1661853079373601</v>
      </c>
      <c r="P50" s="48">
        <v>0.48360608097907298</v>
      </c>
      <c r="Q50" s="48">
        <v>0.52162121864021005</v>
      </c>
      <c r="R50" s="48">
        <v>1.67627909365447</v>
      </c>
      <c r="S50" s="48">
        <v>1.0314795760745901</v>
      </c>
      <c r="T50" s="48">
        <v>2.0894961637653502</v>
      </c>
      <c r="U50" s="48">
        <v>3.1950873874771499</v>
      </c>
      <c r="W50" s="48" t="s">
        <v>65</v>
      </c>
      <c r="X50" s="49">
        <f t="shared" ca="1" si="5"/>
        <v>0.59</v>
      </c>
      <c r="Y50" s="49">
        <f t="shared" ca="1" si="4"/>
        <v>0.56999999999999995</v>
      </c>
      <c r="Z50" s="49">
        <f t="shared" ca="1" si="4"/>
        <v>0.59</v>
      </c>
      <c r="AA50" s="49">
        <f t="shared" ca="1" si="4"/>
        <v>0.57999999999999996</v>
      </c>
      <c r="AB50" s="49">
        <f t="shared" ca="1" si="4"/>
        <v>0.57999999999999996</v>
      </c>
      <c r="AC50" s="49">
        <f t="shared" ca="1" si="4"/>
        <v>0.57999999999999996</v>
      </c>
      <c r="AD50" s="49">
        <f t="shared" ca="1" si="4"/>
        <v>0.62</v>
      </c>
      <c r="AE50" s="49">
        <f t="shared" ca="1" si="4"/>
        <v>0.64</v>
      </c>
      <c r="AF50" s="49">
        <f t="shared" ca="1" si="4"/>
        <v>0.62</v>
      </c>
      <c r="AG50" s="49">
        <f t="shared" ca="1" si="4"/>
        <v>0.71</v>
      </c>
      <c r="AH50" s="49">
        <f t="shared" ca="1" si="4"/>
        <v>0.68</v>
      </c>
      <c r="AI50" s="49">
        <f t="shared" ca="1" si="4"/>
        <v>0.73</v>
      </c>
      <c r="AJ50" s="49">
        <f t="shared" ca="1" si="4"/>
        <v>0.74</v>
      </c>
      <c r="AK50" s="49">
        <f t="shared" ca="1" si="4"/>
        <v>0.71</v>
      </c>
      <c r="AL50" s="49">
        <f t="shared" ca="1" si="4"/>
        <v>0.74</v>
      </c>
      <c r="AM50" s="49">
        <f t="shared" ca="1" si="4"/>
        <v>0.75</v>
      </c>
      <c r="AN50" s="49">
        <f t="shared" ca="1" si="4"/>
        <v>0.74</v>
      </c>
      <c r="AO50" s="49">
        <f t="shared" ca="1" si="4"/>
        <v>0.76</v>
      </c>
      <c r="AP50" s="49">
        <f t="shared" ca="1" si="4"/>
        <v>0.78</v>
      </c>
    </row>
    <row r="51" spans="2:42" s="48" customFormat="1" ht="10.5" x14ac:dyDescent="0.25">
      <c r="B51" s="48" t="s">
        <v>67</v>
      </c>
      <c r="C51" s="48">
        <v>5.7256028938455501E-2</v>
      </c>
      <c r="D51" s="48">
        <v>6.5052975664765103E-2</v>
      </c>
      <c r="E51" s="48">
        <v>8.0853084833682407E-2</v>
      </c>
      <c r="F51" s="48">
        <v>7.9892117050340106E-2</v>
      </c>
      <c r="G51" s="48">
        <v>9.6605007611454005E-2</v>
      </c>
      <c r="H51" s="48">
        <v>0.113832071448233</v>
      </c>
      <c r="I51" s="48">
        <v>0.121727811320538</v>
      </c>
      <c r="J51" s="48">
        <v>0.26097353272701201</v>
      </c>
      <c r="K51" s="48">
        <v>0.24942980682911001</v>
      </c>
      <c r="L51" s="48">
        <v>1.43964134158057</v>
      </c>
      <c r="M51" s="48">
        <v>0.55476332392608696</v>
      </c>
      <c r="N51" s="48">
        <v>1.0675826220551301</v>
      </c>
      <c r="O51" s="48">
        <v>2.0091750710673999</v>
      </c>
      <c r="P51" s="48">
        <v>1.29329729552825</v>
      </c>
      <c r="Q51" s="48">
        <v>1.3130393203902</v>
      </c>
      <c r="R51" s="48">
        <v>2.90478450545874</v>
      </c>
      <c r="S51" s="48">
        <v>2.3560653260489599</v>
      </c>
      <c r="T51" s="48">
        <v>3.80373720552068</v>
      </c>
      <c r="U51" s="48">
        <v>5.5908869859781198</v>
      </c>
      <c r="W51" s="48" t="s">
        <v>66</v>
      </c>
      <c r="X51" s="49">
        <f t="shared" ca="1" si="5"/>
        <v>0.41</v>
      </c>
      <c r="Y51" s="49">
        <f t="shared" ca="1" si="4"/>
        <v>0.4</v>
      </c>
      <c r="Z51" s="49">
        <f t="shared" ca="1" si="4"/>
        <v>0.38</v>
      </c>
      <c r="AA51" s="49">
        <f t="shared" ca="1" si="4"/>
        <v>0.39</v>
      </c>
      <c r="AB51" s="49">
        <f t="shared" ca="1" si="4"/>
        <v>0.33</v>
      </c>
      <c r="AC51" s="49">
        <f t="shared" ca="1" si="4"/>
        <v>0.34</v>
      </c>
      <c r="AD51" s="49">
        <f t="shared" ca="1" si="4"/>
        <v>0.34</v>
      </c>
      <c r="AE51" s="49">
        <f t="shared" ca="1" si="4"/>
        <v>0.36</v>
      </c>
      <c r="AF51" s="49">
        <f t="shared" ca="1" si="4"/>
        <v>0.34</v>
      </c>
      <c r="AG51" s="49">
        <f t="shared" ca="1" si="4"/>
        <v>0.38</v>
      </c>
      <c r="AH51" s="49">
        <f t="shared" ca="1" si="4"/>
        <v>0.4</v>
      </c>
      <c r="AI51" s="49">
        <f t="shared" ca="1" si="4"/>
        <v>0.43</v>
      </c>
      <c r="AJ51" s="49">
        <f t="shared" ca="1" si="4"/>
        <v>0.42</v>
      </c>
      <c r="AK51" s="49">
        <f t="shared" ca="1" si="4"/>
        <v>0.43</v>
      </c>
      <c r="AL51" s="49">
        <f t="shared" ca="1" si="4"/>
        <v>0.46</v>
      </c>
      <c r="AM51" s="49">
        <f t="shared" ca="1" si="4"/>
        <v>0.43</v>
      </c>
      <c r="AN51" s="49">
        <f t="shared" ca="1" si="4"/>
        <v>0.43</v>
      </c>
      <c r="AO51" s="49">
        <f t="shared" ca="1" si="4"/>
        <v>0.46</v>
      </c>
      <c r="AP51" s="49">
        <f t="shared" ca="1" si="4"/>
        <v>0.5</v>
      </c>
    </row>
    <row r="52" spans="2:42" s="48" customFormat="1" ht="10.5" x14ac:dyDescent="0.25">
      <c r="B52" s="48" t="s">
        <v>68</v>
      </c>
      <c r="C52" s="48">
        <v>0</v>
      </c>
      <c r="D52" s="48">
        <v>0</v>
      </c>
      <c r="E52" s="48">
        <v>0</v>
      </c>
      <c r="F52" s="48">
        <v>0</v>
      </c>
      <c r="G52" s="48">
        <v>0</v>
      </c>
      <c r="H52" s="48">
        <v>0</v>
      </c>
      <c r="I52" s="48">
        <v>0</v>
      </c>
      <c r="J52" s="48">
        <v>8.3729445391580906E-2</v>
      </c>
      <c r="K52" s="48">
        <v>4.1256338126303398E-3</v>
      </c>
      <c r="L52" s="48">
        <v>3.01050766170999</v>
      </c>
      <c r="M52" s="48">
        <v>0.888746812027991</v>
      </c>
      <c r="N52" s="48">
        <v>1.2993831930098501</v>
      </c>
      <c r="O52" s="48">
        <v>5.4043033111261796</v>
      </c>
      <c r="P52" s="48">
        <v>2.4897213982743902</v>
      </c>
      <c r="Q52" s="48">
        <v>1.15228438191524</v>
      </c>
      <c r="R52" s="48">
        <v>7.83969042841629</v>
      </c>
      <c r="S52" s="48">
        <v>4.7853870735524602</v>
      </c>
      <c r="T52" s="48">
        <v>9.3437336791600103</v>
      </c>
      <c r="U52" s="48">
        <v>9.4292713681081306</v>
      </c>
      <c r="W52" s="48" t="s">
        <v>67</v>
      </c>
      <c r="X52" s="49">
        <f t="shared" ca="1" si="5"/>
        <v>0.45</v>
      </c>
      <c r="Y52" s="49">
        <f t="shared" ca="1" si="4"/>
        <v>0.45</v>
      </c>
      <c r="Z52" s="49">
        <f t="shared" ca="1" si="4"/>
        <v>0.43</v>
      </c>
      <c r="AA52" s="49">
        <f t="shared" ca="1" si="4"/>
        <v>0.44</v>
      </c>
      <c r="AB52" s="49">
        <f t="shared" ca="1" si="4"/>
        <v>0.42</v>
      </c>
      <c r="AC52" s="49">
        <f t="shared" ca="1" si="4"/>
        <v>0.44</v>
      </c>
      <c r="AD52" s="49">
        <f t="shared" ca="1" si="4"/>
        <v>0.44</v>
      </c>
      <c r="AE52" s="49">
        <f t="shared" ca="1" si="4"/>
        <v>0.42</v>
      </c>
      <c r="AF52" s="49">
        <f t="shared" ca="1" si="4"/>
        <v>0.4</v>
      </c>
      <c r="AG52" s="49">
        <f t="shared" ca="1" si="4"/>
        <v>0.36</v>
      </c>
      <c r="AH52" s="49">
        <f t="shared" ca="1" si="4"/>
        <v>0.42</v>
      </c>
      <c r="AI52" s="49">
        <f t="shared" ca="1" si="4"/>
        <v>0.44</v>
      </c>
      <c r="AJ52" s="49">
        <f t="shared" ca="1" si="4"/>
        <v>0.39</v>
      </c>
      <c r="AK52" s="49">
        <f t="shared" ca="1" si="4"/>
        <v>0.44</v>
      </c>
      <c r="AL52" s="49">
        <f t="shared" ca="1" si="4"/>
        <v>0.43</v>
      </c>
      <c r="AM52" s="49">
        <f t="shared" ca="1" si="4"/>
        <v>0.39</v>
      </c>
      <c r="AN52" s="49">
        <f t="shared" ca="1" si="4"/>
        <v>0.38</v>
      </c>
      <c r="AO52" s="49">
        <f t="shared" ca="1" si="4"/>
        <v>0.39</v>
      </c>
      <c r="AP52" s="49">
        <f t="shared" ca="1" si="4"/>
        <v>0.44</v>
      </c>
    </row>
    <row r="53" spans="2:42" s="48" customFormat="1" ht="10.5" x14ac:dyDescent="0.25">
      <c r="B53" s="48" t="s">
        <v>69</v>
      </c>
      <c r="C53" s="48">
        <v>0.26399414571653801</v>
      </c>
      <c r="D53" s="48">
        <v>0.285603559358723</v>
      </c>
      <c r="E53" s="48">
        <v>0.31762646777377401</v>
      </c>
      <c r="F53" s="48">
        <v>0.33409565647478501</v>
      </c>
      <c r="G53" s="48">
        <v>0.293615333737826</v>
      </c>
      <c r="H53" s="48">
        <v>0.25895814821732299</v>
      </c>
      <c r="I53" s="48">
        <v>0.32151790420596699</v>
      </c>
      <c r="J53" s="48">
        <v>0.47475302464554497</v>
      </c>
      <c r="K53" s="48">
        <v>0.67587116822295501</v>
      </c>
      <c r="L53" s="48">
        <v>1.3748505625293601</v>
      </c>
      <c r="M53" s="48">
        <v>0.62906527180637295</v>
      </c>
      <c r="N53" s="48">
        <v>1.25681051937176</v>
      </c>
      <c r="O53" s="48">
        <v>1.89542362935219</v>
      </c>
      <c r="P53" s="48">
        <v>1.2023962441778799</v>
      </c>
      <c r="Q53" s="48">
        <v>1.1616106588939901</v>
      </c>
      <c r="R53" s="48">
        <v>2.4467793893252701</v>
      </c>
      <c r="S53" s="48">
        <v>1.9020210950849801</v>
      </c>
      <c r="T53" s="48">
        <v>2.83286083498382</v>
      </c>
      <c r="U53" s="48">
        <v>3.89973550851097</v>
      </c>
      <c r="W53" s="48" t="s">
        <v>68</v>
      </c>
      <c r="X53" s="49">
        <f t="shared" ca="1" si="5"/>
        <v>0.24</v>
      </c>
      <c r="Y53" s="49">
        <f t="shared" ca="1" si="4"/>
        <v>0.25</v>
      </c>
      <c r="Z53" s="49">
        <f t="shared" ca="1" si="4"/>
        <v>0.21</v>
      </c>
      <c r="AA53" s="49">
        <f t="shared" ca="1" si="4"/>
        <v>0.24</v>
      </c>
      <c r="AB53" s="49">
        <f t="shared" ca="1" si="4"/>
        <v>0.2</v>
      </c>
      <c r="AC53" s="49">
        <f t="shared" ca="1" si="4"/>
        <v>0.21</v>
      </c>
      <c r="AD53" s="49">
        <f t="shared" ca="1" si="4"/>
        <v>0.24</v>
      </c>
      <c r="AE53" s="49">
        <f t="shared" ca="1" si="4"/>
        <v>0.22</v>
      </c>
      <c r="AF53" s="49">
        <f t="shared" ca="1" si="4"/>
        <v>0.18</v>
      </c>
      <c r="AG53" s="49">
        <f t="shared" ca="1" si="4"/>
        <v>0.38</v>
      </c>
      <c r="AH53" s="49">
        <f t="shared" ca="1" si="4"/>
        <v>0.27</v>
      </c>
      <c r="AI53" s="49">
        <f t="shared" ca="1" si="4"/>
        <v>0.31</v>
      </c>
      <c r="AJ53" s="49">
        <f t="shared" ca="1" si="4"/>
        <v>0.47</v>
      </c>
      <c r="AK53" s="49">
        <f t="shared" ca="1" si="4"/>
        <v>0.37</v>
      </c>
      <c r="AL53" s="49">
        <f t="shared" ca="1" si="4"/>
        <v>0.31</v>
      </c>
      <c r="AM53" s="49">
        <f t="shared" ca="1" si="4"/>
        <v>0.5</v>
      </c>
      <c r="AN53" s="49">
        <f t="shared" ca="1" si="4"/>
        <v>0.44</v>
      </c>
      <c r="AO53" s="49">
        <f t="shared" ca="1" si="4"/>
        <v>0.43</v>
      </c>
      <c r="AP53" s="49">
        <f t="shared" ca="1" si="4"/>
        <v>0.48</v>
      </c>
    </row>
    <row r="54" spans="2:42" x14ac:dyDescent="0.35">
      <c r="W54" t="s">
        <v>69</v>
      </c>
      <c r="X54" s="49">
        <f t="shared" ca="1" si="5"/>
        <v>0.54</v>
      </c>
      <c r="Y54" s="49">
        <f t="shared" ca="1" si="4"/>
        <v>0.52</v>
      </c>
      <c r="Z54" s="49">
        <f t="shared" ca="1" si="4"/>
        <v>0.52</v>
      </c>
      <c r="AA54" s="49">
        <f t="shared" ca="1" si="4"/>
        <v>0.52</v>
      </c>
      <c r="AB54" s="49">
        <f t="shared" ca="1" si="4"/>
        <v>0.45</v>
      </c>
      <c r="AC54" s="49">
        <f t="shared" ca="1" si="4"/>
        <v>0.43</v>
      </c>
      <c r="AD54" s="49">
        <f t="shared" ca="1" si="4"/>
        <v>0.45</v>
      </c>
      <c r="AE54" s="49">
        <f t="shared" ca="1" si="4"/>
        <v>0.46</v>
      </c>
      <c r="AF54" s="49">
        <f t="shared" ca="1" si="4"/>
        <v>0.46</v>
      </c>
      <c r="AG54" s="49">
        <f t="shared" ca="1" si="4"/>
        <v>0.46</v>
      </c>
      <c r="AH54" s="49">
        <f t="shared" ca="1" si="4"/>
        <v>0.46</v>
      </c>
      <c r="AI54" s="49">
        <f t="shared" ca="1" si="4"/>
        <v>0.5</v>
      </c>
      <c r="AJ54" s="49">
        <f t="shared" ca="1" si="4"/>
        <v>0.48</v>
      </c>
      <c r="AK54" s="49">
        <f t="shared" ca="1" si="4"/>
        <v>0.49</v>
      </c>
      <c r="AL54" s="49">
        <f t="shared" ca="1" si="4"/>
        <v>0.51</v>
      </c>
      <c r="AM54" s="49">
        <f t="shared" ca="1" si="4"/>
        <v>0.48</v>
      </c>
      <c r="AN54" s="49">
        <f t="shared" ca="1" si="4"/>
        <v>0.48</v>
      </c>
      <c r="AO54" s="49">
        <f t="shared" ca="1" si="4"/>
        <v>0.49</v>
      </c>
      <c r="AP54" s="49">
        <f t="shared" ca="1" si="4"/>
        <v>0.53</v>
      </c>
    </row>
    <row r="55" spans="2:42" s="47" customFormat="1" ht="10.5" x14ac:dyDescent="0.25">
      <c r="X55" s="49"/>
      <c r="Y55" s="49"/>
      <c r="Z55" s="49"/>
      <c r="AA55" s="49"/>
      <c r="AB55" s="49"/>
      <c r="AC55" s="49"/>
      <c r="AD55" s="49"/>
      <c r="AE55" s="49"/>
      <c r="AF55" s="49"/>
      <c r="AG55" s="49"/>
      <c r="AH55" s="49"/>
      <c r="AI55" s="49"/>
      <c r="AJ55" s="49"/>
      <c r="AK55" s="49"/>
      <c r="AL55" s="49"/>
      <c r="AM55" s="49"/>
      <c r="AN55" s="49"/>
      <c r="AO55" s="49"/>
      <c r="AP55" s="49"/>
    </row>
    <row r="56" spans="2:42" s="47" customFormat="1" ht="10.5" x14ac:dyDescent="0.25">
      <c r="W56" s="47" t="s">
        <v>75</v>
      </c>
      <c r="X56" s="49"/>
      <c r="Y56" s="49"/>
      <c r="Z56" s="49"/>
      <c r="AA56" s="49"/>
      <c r="AB56" s="49"/>
      <c r="AC56" s="49"/>
      <c r="AD56" s="49"/>
      <c r="AE56" s="49"/>
      <c r="AF56" s="49"/>
      <c r="AG56" s="49"/>
      <c r="AH56" s="49"/>
      <c r="AI56" s="49"/>
      <c r="AJ56" s="49"/>
      <c r="AK56" s="49"/>
      <c r="AL56" s="49"/>
      <c r="AM56" s="49"/>
      <c r="AN56" s="49"/>
      <c r="AO56" s="49"/>
      <c r="AP56" s="49"/>
    </row>
    <row r="57" spans="2:42" s="47" customFormat="1" ht="10.5" x14ac:dyDescent="0.25">
      <c r="W57" s="47" t="s">
        <v>38</v>
      </c>
      <c r="X57" s="49" t="s">
        <v>39</v>
      </c>
      <c r="Y57" s="49" t="s">
        <v>40</v>
      </c>
      <c r="Z57" s="49" t="s">
        <v>41</v>
      </c>
      <c r="AA57" s="49" t="s">
        <v>42</v>
      </c>
      <c r="AB57" s="49" t="s">
        <v>43</v>
      </c>
      <c r="AC57" s="49" t="s">
        <v>44</v>
      </c>
      <c r="AD57" s="49" t="s">
        <v>45</v>
      </c>
      <c r="AE57" s="49" t="s">
        <v>46</v>
      </c>
      <c r="AF57" s="49" t="s">
        <v>47</v>
      </c>
      <c r="AG57" s="49" t="s">
        <v>48</v>
      </c>
      <c r="AH57" s="49" t="s">
        <v>49</v>
      </c>
      <c r="AI57" s="49" t="s">
        <v>50</v>
      </c>
      <c r="AJ57" s="49" t="s">
        <v>51</v>
      </c>
      <c r="AK57" s="49" t="s">
        <v>52</v>
      </c>
      <c r="AL57" s="49" t="s">
        <v>53</v>
      </c>
      <c r="AM57" s="49" t="s">
        <v>54</v>
      </c>
      <c r="AN57" s="49" t="s">
        <v>55</v>
      </c>
      <c r="AO57" s="49" t="s">
        <v>56</v>
      </c>
      <c r="AP57" s="49" t="s">
        <v>57</v>
      </c>
    </row>
    <row r="58" spans="2:42" s="47" customFormat="1" ht="10.5" x14ac:dyDescent="0.25">
      <c r="W58" s="47" t="s">
        <v>58</v>
      </c>
      <c r="X58" s="49">
        <f>ROUND(IF($K$3="90.1-2016_Pub",((1+C16)/(C31+C45))-0.05, ((1+C16)/(C31+C45))),2)</f>
        <v>0.63</v>
      </c>
      <c r="Y58" s="49">
        <f t="shared" ref="Y58:AP66" si="6">ROUND(IF($K$3="90.1-2016_Pub",((1+D16)/(D31+D45))-0.05, ((1+D16)/(D31+D45))),2)</f>
        <v>0.59</v>
      </c>
      <c r="Z58" s="49">
        <f t="shared" si="6"/>
        <v>0.63</v>
      </c>
      <c r="AA58" s="49">
        <f t="shared" si="6"/>
        <v>0.6</v>
      </c>
      <c r="AB58" s="49">
        <f t="shared" si="6"/>
        <v>0.62</v>
      </c>
      <c r="AC58" s="49">
        <f t="shared" si="6"/>
        <v>0.61</v>
      </c>
      <c r="AD58" s="49">
        <f t="shared" si="6"/>
        <v>0.62</v>
      </c>
      <c r="AE58" s="49">
        <f t="shared" si="6"/>
        <v>0.61</v>
      </c>
      <c r="AF58" s="49">
        <f t="shared" si="6"/>
        <v>0.54</v>
      </c>
      <c r="AG58" s="49">
        <f t="shared" si="6"/>
        <v>0.55000000000000004</v>
      </c>
      <c r="AH58" s="49">
        <f t="shared" si="6"/>
        <v>0.6</v>
      </c>
      <c r="AI58" s="49">
        <f t="shared" si="6"/>
        <v>0.56999999999999995</v>
      </c>
      <c r="AJ58" s="49">
        <f t="shared" si="6"/>
        <v>0.52</v>
      </c>
      <c r="AK58" s="49">
        <f t="shared" si="6"/>
        <v>0.56000000000000005</v>
      </c>
      <c r="AL58" s="49">
        <f t="shared" si="6"/>
        <v>0.56999999999999995</v>
      </c>
      <c r="AM58" s="49">
        <f t="shared" si="6"/>
        <v>0.5</v>
      </c>
      <c r="AN58" s="49">
        <f t="shared" si="6"/>
        <v>0.52</v>
      </c>
      <c r="AO58" s="49">
        <f t="shared" si="6"/>
        <v>0.51</v>
      </c>
      <c r="AP58" s="49">
        <f t="shared" si="6"/>
        <v>0.56000000000000005</v>
      </c>
    </row>
    <row r="59" spans="2:42" s="47" customFormat="1" ht="10.5" x14ac:dyDescent="0.25">
      <c r="W59" s="47" t="s">
        <v>62</v>
      </c>
      <c r="X59" s="49">
        <f t="shared" ref="X59:X66" si="7">ROUND(IF($K$3="90.1-2016_Pub",((1+C17)/(C32+C46))-0.05, ((1+C17)/(C32+C46))),2)</f>
        <v>0.55000000000000004</v>
      </c>
      <c r="Y59" s="49">
        <f t="shared" si="6"/>
        <v>0.53</v>
      </c>
      <c r="Z59" s="49">
        <f t="shared" si="6"/>
        <v>0.53</v>
      </c>
      <c r="AA59" s="49">
        <f t="shared" si="6"/>
        <v>0.54</v>
      </c>
      <c r="AB59" s="49">
        <f t="shared" si="6"/>
        <v>0.54</v>
      </c>
      <c r="AC59" s="49">
        <f t="shared" si="6"/>
        <v>0.55000000000000004</v>
      </c>
      <c r="AD59" s="49">
        <f t="shared" si="6"/>
        <v>0.53</v>
      </c>
      <c r="AE59" s="49">
        <f t="shared" si="6"/>
        <v>0.55000000000000004</v>
      </c>
      <c r="AF59" s="49">
        <f t="shared" si="6"/>
        <v>0.51</v>
      </c>
      <c r="AG59" s="49">
        <f t="shared" si="6"/>
        <v>0.51</v>
      </c>
      <c r="AH59" s="49">
        <f t="shared" si="6"/>
        <v>0.53</v>
      </c>
      <c r="AI59" s="49">
        <f t="shared" si="6"/>
        <v>0.51</v>
      </c>
      <c r="AJ59" s="49">
        <f t="shared" si="6"/>
        <v>0.51</v>
      </c>
      <c r="AK59" s="49">
        <f t="shared" si="6"/>
        <v>0.51</v>
      </c>
      <c r="AL59" s="49">
        <f t="shared" si="6"/>
        <v>0.55000000000000004</v>
      </c>
      <c r="AM59" s="49">
        <f t="shared" si="6"/>
        <v>0.5</v>
      </c>
      <c r="AN59" s="49">
        <f t="shared" si="6"/>
        <v>0.53</v>
      </c>
      <c r="AO59" s="49">
        <f t="shared" si="6"/>
        <v>0.55000000000000004</v>
      </c>
      <c r="AP59" s="49">
        <f t="shared" si="6"/>
        <v>0.56999999999999995</v>
      </c>
    </row>
    <row r="60" spans="2:42" s="47" customFormat="1" ht="10.5" x14ac:dyDescent="0.25">
      <c r="W60" s="47" t="s">
        <v>63</v>
      </c>
      <c r="X60" s="49">
        <f t="shared" si="7"/>
        <v>0.6</v>
      </c>
      <c r="Y60" s="49">
        <f t="shared" si="6"/>
        <v>0.59</v>
      </c>
      <c r="Z60" s="49">
        <f t="shared" si="6"/>
        <v>0.6</v>
      </c>
      <c r="AA60" s="49">
        <f t="shared" si="6"/>
        <v>0.59</v>
      </c>
      <c r="AB60" s="49">
        <f t="shared" si="6"/>
        <v>0.59</v>
      </c>
      <c r="AC60" s="49">
        <f t="shared" si="6"/>
        <v>0.57999999999999996</v>
      </c>
      <c r="AD60" s="49">
        <f t="shared" si="6"/>
        <v>0.57999999999999996</v>
      </c>
      <c r="AE60" s="49">
        <f t="shared" si="6"/>
        <v>0.59</v>
      </c>
      <c r="AF60" s="49">
        <f t="shared" si="6"/>
        <v>0.57999999999999996</v>
      </c>
      <c r="AG60" s="49">
        <f t="shared" si="6"/>
        <v>0.56000000000000005</v>
      </c>
      <c r="AH60" s="49">
        <f t="shared" si="6"/>
        <v>0.57999999999999996</v>
      </c>
      <c r="AI60" s="49">
        <f t="shared" si="6"/>
        <v>0.57999999999999996</v>
      </c>
      <c r="AJ60" s="49">
        <f t="shared" si="6"/>
        <v>0.54</v>
      </c>
      <c r="AK60" s="49">
        <f t="shared" si="6"/>
        <v>0.56999999999999995</v>
      </c>
      <c r="AL60" s="49">
        <f t="shared" si="6"/>
        <v>0.59</v>
      </c>
      <c r="AM60" s="49">
        <f t="shared" si="6"/>
        <v>0.54</v>
      </c>
      <c r="AN60" s="49">
        <f t="shared" si="6"/>
        <v>0.56999999999999995</v>
      </c>
      <c r="AO60" s="49">
        <f t="shared" si="6"/>
        <v>0.55000000000000004</v>
      </c>
      <c r="AP60" s="49">
        <f t="shared" si="6"/>
        <v>0.55000000000000004</v>
      </c>
    </row>
    <row r="61" spans="2:42" s="47" customFormat="1" ht="10.5" x14ac:dyDescent="0.25">
      <c r="W61" s="47" t="s">
        <v>64</v>
      </c>
      <c r="X61" s="49">
        <f t="shared" si="7"/>
        <v>0.43</v>
      </c>
      <c r="Y61" s="49">
        <f t="shared" si="6"/>
        <v>0.42</v>
      </c>
      <c r="Z61" s="49">
        <f t="shared" si="6"/>
        <v>0.4</v>
      </c>
      <c r="AA61" s="49">
        <f t="shared" si="6"/>
        <v>0.41</v>
      </c>
      <c r="AB61" s="49">
        <f t="shared" si="6"/>
        <v>0.37</v>
      </c>
      <c r="AC61" s="49">
        <f t="shared" si="6"/>
        <v>0.39</v>
      </c>
      <c r="AD61" s="49">
        <f t="shared" si="6"/>
        <v>0.37</v>
      </c>
      <c r="AE61" s="49">
        <f t="shared" si="6"/>
        <v>0.39</v>
      </c>
      <c r="AF61" s="49">
        <f t="shared" si="6"/>
        <v>0.35</v>
      </c>
      <c r="AG61" s="49">
        <f t="shared" si="6"/>
        <v>0.37</v>
      </c>
      <c r="AH61" s="49">
        <f t="shared" si="6"/>
        <v>0.38</v>
      </c>
      <c r="AI61" s="49">
        <f t="shared" si="6"/>
        <v>0.4</v>
      </c>
      <c r="AJ61" s="49">
        <f t="shared" si="6"/>
        <v>0.4</v>
      </c>
      <c r="AK61" s="49">
        <f t="shared" si="6"/>
        <v>0.4</v>
      </c>
      <c r="AL61" s="49">
        <f t="shared" si="6"/>
        <v>0.41</v>
      </c>
      <c r="AM61" s="49">
        <f t="shared" si="6"/>
        <v>0.43</v>
      </c>
      <c r="AN61" s="49">
        <f t="shared" si="6"/>
        <v>0.41</v>
      </c>
      <c r="AO61" s="49">
        <f t="shared" si="6"/>
        <v>0.39</v>
      </c>
      <c r="AP61" s="49">
        <f t="shared" si="6"/>
        <v>0.43</v>
      </c>
    </row>
    <row r="62" spans="2:42" s="47" customFormat="1" ht="10.5" x14ac:dyDescent="0.25">
      <c r="W62" s="47" t="s">
        <v>65</v>
      </c>
      <c r="X62" s="49">
        <f t="shared" si="7"/>
        <v>0.59</v>
      </c>
      <c r="Y62" s="49">
        <f t="shared" si="6"/>
        <v>0.56999999999999995</v>
      </c>
      <c r="Z62" s="49">
        <f t="shared" si="6"/>
        <v>0.57999999999999996</v>
      </c>
      <c r="AA62" s="49">
        <f t="shared" si="6"/>
        <v>0.57999999999999996</v>
      </c>
      <c r="AB62" s="49">
        <f t="shared" si="6"/>
        <v>0.57999999999999996</v>
      </c>
      <c r="AC62" s="49">
        <f t="shared" si="6"/>
        <v>0.57999999999999996</v>
      </c>
      <c r="AD62" s="49">
        <f t="shared" si="6"/>
        <v>0.62</v>
      </c>
      <c r="AE62" s="49">
        <f t="shared" si="6"/>
        <v>0.64</v>
      </c>
      <c r="AF62" s="49">
        <f t="shared" si="6"/>
        <v>0.62</v>
      </c>
      <c r="AG62" s="49">
        <f t="shared" si="6"/>
        <v>0.71</v>
      </c>
      <c r="AH62" s="49">
        <f t="shared" si="6"/>
        <v>0.68</v>
      </c>
      <c r="AI62" s="49">
        <f t="shared" si="6"/>
        <v>0.72</v>
      </c>
      <c r="AJ62" s="49">
        <f t="shared" si="6"/>
        <v>0.74</v>
      </c>
      <c r="AK62" s="49">
        <f t="shared" si="6"/>
        <v>0.71</v>
      </c>
      <c r="AL62" s="49">
        <f t="shared" si="6"/>
        <v>0.74</v>
      </c>
      <c r="AM62" s="49">
        <f t="shared" si="6"/>
        <v>0.74</v>
      </c>
      <c r="AN62" s="49">
        <f t="shared" si="6"/>
        <v>0.73</v>
      </c>
      <c r="AO62" s="49">
        <f t="shared" si="6"/>
        <v>0.76</v>
      </c>
      <c r="AP62" s="49">
        <f t="shared" si="6"/>
        <v>0.78</v>
      </c>
    </row>
    <row r="63" spans="2:42" s="47" customFormat="1" ht="10.5" x14ac:dyDescent="0.25">
      <c r="W63" s="47" t="s">
        <v>66</v>
      </c>
      <c r="X63" s="49">
        <f t="shared" si="7"/>
        <v>0.41</v>
      </c>
      <c r="Y63" s="49">
        <f t="shared" si="6"/>
        <v>0.4</v>
      </c>
      <c r="Z63" s="49">
        <f t="shared" si="6"/>
        <v>0.38</v>
      </c>
      <c r="AA63" s="49">
        <f t="shared" si="6"/>
        <v>0.39</v>
      </c>
      <c r="AB63" s="49">
        <f t="shared" si="6"/>
        <v>0.33</v>
      </c>
      <c r="AC63" s="49">
        <f t="shared" si="6"/>
        <v>0.34</v>
      </c>
      <c r="AD63" s="49">
        <f t="shared" si="6"/>
        <v>0.34</v>
      </c>
      <c r="AE63" s="49">
        <f t="shared" si="6"/>
        <v>0.36</v>
      </c>
      <c r="AF63" s="49">
        <f t="shared" si="6"/>
        <v>0.34</v>
      </c>
      <c r="AG63" s="49">
        <f t="shared" si="6"/>
        <v>0.38</v>
      </c>
      <c r="AH63" s="49">
        <f t="shared" si="6"/>
        <v>0.4</v>
      </c>
      <c r="AI63" s="49">
        <f t="shared" si="6"/>
        <v>0.43</v>
      </c>
      <c r="AJ63" s="49">
        <f t="shared" si="6"/>
        <v>0.42</v>
      </c>
      <c r="AK63" s="49">
        <f t="shared" si="6"/>
        <v>0.42</v>
      </c>
      <c r="AL63" s="49">
        <f t="shared" si="6"/>
        <v>0.45</v>
      </c>
      <c r="AM63" s="49">
        <f t="shared" si="6"/>
        <v>0.43</v>
      </c>
      <c r="AN63" s="49">
        <f t="shared" si="6"/>
        <v>0.43</v>
      </c>
      <c r="AO63" s="49">
        <f t="shared" si="6"/>
        <v>0.46</v>
      </c>
      <c r="AP63" s="49">
        <f t="shared" si="6"/>
        <v>0.5</v>
      </c>
    </row>
    <row r="64" spans="2:42" s="47" customFormat="1" ht="10.5" x14ac:dyDescent="0.25">
      <c r="W64" s="47" t="s">
        <v>67</v>
      </c>
      <c r="X64" s="49">
        <f t="shared" si="7"/>
        <v>0.45</v>
      </c>
      <c r="Y64" s="49">
        <f t="shared" si="6"/>
        <v>0.45</v>
      </c>
      <c r="Z64" s="49">
        <f t="shared" si="6"/>
        <v>0.43</v>
      </c>
      <c r="AA64" s="49">
        <f t="shared" si="6"/>
        <v>0.44</v>
      </c>
      <c r="AB64" s="49">
        <f t="shared" si="6"/>
        <v>0.42</v>
      </c>
      <c r="AC64" s="49">
        <f t="shared" si="6"/>
        <v>0.44</v>
      </c>
      <c r="AD64" s="49">
        <f t="shared" si="6"/>
        <v>0.44</v>
      </c>
      <c r="AE64" s="49">
        <f t="shared" si="6"/>
        <v>0.42</v>
      </c>
      <c r="AF64" s="49">
        <f t="shared" si="6"/>
        <v>0.39</v>
      </c>
      <c r="AG64" s="49">
        <f t="shared" si="6"/>
        <v>0.36</v>
      </c>
      <c r="AH64" s="49">
        <f t="shared" si="6"/>
        <v>0.41</v>
      </c>
      <c r="AI64" s="49">
        <f t="shared" si="6"/>
        <v>0.44</v>
      </c>
      <c r="AJ64" s="49">
        <f t="shared" si="6"/>
        <v>0.39</v>
      </c>
      <c r="AK64" s="49">
        <f t="shared" si="6"/>
        <v>0.44</v>
      </c>
      <c r="AL64" s="49">
        <f t="shared" si="6"/>
        <v>0.43</v>
      </c>
      <c r="AM64" s="49">
        <f t="shared" si="6"/>
        <v>0.39</v>
      </c>
      <c r="AN64" s="49">
        <f t="shared" si="6"/>
        <v>0.38</v>
      </c>
      <c r="AO64" s="49">
        <f t="shared" si="6"/>
        <v>0.39</v>
      </c>
      <c r="AP64" s="49">
        <f t="shared" si="6"/>
        <v>0.44</v>
      </c>
    </row>
    <row r="65" spans="23:42" s="47" customFormat="1" ht="10.5" x14ac:dyDescent="0.25">
      <c r="W65" s="47" t="s">
        <v>68</v>
      </c>
      <c r="X65" s="49">
        <f t="shared" si="7"/>
        <v>0.24</v>
      </c>
      <c r="Y65" s="49">
        <f t="shared" si="6"/>
        <v>0.25</v>
      </c>
      <c r="Z65" s="49">
        <f t="shared" si="6"/>
        <v>0.21</v>
      </c>
      <c r="AA65" s="49">
        <f t="shared" si="6"/>
        <v>0.24</v>
      </c>
      <c r="AB65" s="49">
        <f t="shared" si="6"/>
        <v>0.2</v>
      </c>
      <c r="AC65" s="49">
        <f t="shared" si="6"/>
        <v>0.21</v>
      </c>
      <c r="AD65" s="49">
        <f t="shared" si="6"/>
        <v>0.24</v>
      </c>
      <c r="AE65" s="49">
        <f t="shared" si="6"/>
        <v>0.22</v>
      </c>
      <c r="AF65" s="49">
        <f t="shared" si="6"/>
        <v>0.18</v>
      </c>
      <c r="AG65" s="49">
        <f t="shared" si="6"/>
        <v>0.37</v>
      </c>
      <c r="AH65" s="49">
        <f t="shared" si="6"/>
        <v>0.27</v>
      </c>
      <c r="AI65" s="49">
        <f t="shared" si="6"/>
        <v>0.31</v>
      </c>
      <c r="AJ65" s="49">
        <f t="shared" si="6"/>
        <v>0.46</v>
      </c>
      <c r="AK65" s="49">
        <f t="shared" si="6"/>
        <v>0.36</v>
      </c>
      <c r="AL65" s="49">
        <f t="shared" si="6"/>
        <v>0.31</v>
      </c>
      <c r="AM65" s="49">
        <f t="shared" si="6"/>
        <v>0.49</v>
      </c>
      <c r="AN65" s="49">
        <f t="shared" si="6"/>
        <v>0.43</v>
      </c>
      <c r="AO65" s="49">
        <f t="shared" si="6"/>
        <v>0.43</v>
      </c>
      <c r="AP65" s="49">
        <f t="shared" si="6"/>
        <v>0.47</v>
      </c>
    </row>
    <row r="66" spans="23:42" s="47" customFormat="1" ht="10.5" x14ac:dyDescent="0.25">
      <c r="W66" s="47" t="s">
        <v>69</v>
      </c>
      <c r="X66" s="49">
        <f t="shared" si="7"/>
        <v>0.54</v>
      </c>
      <c r="Y66" s="49">
        <f t="shared" si="6"/>
        <v>0.52</v>
      </c>
      <c r="Z66" s="49">
        <f t="shared" si="6"/>
        <v>0.52</v>
      </c>
      <c r="AA66" s="49">
        <f t="shared" si="6"/>
        <v>0.52</v>
      </c>
      <c r="AB66" s="49">
        <f t="shared" si="6"/>
        <v>0.45</v>
      </c>
      <c r="AC66" s="49">
        <f t="shared" si="6"/>
        <v>0.43</v>
      </c>
      <c r="AD66" s="49">
        <f t="shared" si="6"/>
        <v>0.45</v>
      </c>
      <c r="AE66" s="49">
        <f t="shared" si="6"/>
        <v>0.46</v>
      </c>
      <c r="AF66" s="49">
        <f t="shared" si="6"/>
        <v>0.45</v>
      </c>
      <c r="AG66" s="49">
        <f t="shared" si="6"/>
        <v>0.46</v>
      </c>
      <c r="AH66" s="49">
        <f t="shared" si="6"/>
        <v>0.46</v>
      </c>
      <c r="AI66" s="49">
        <f t="shared" si="6"/>
        <v>0.49</v>
      </c>
      <c r="AJ66" s="49">
        <f t="shared" si="6"/>
        <v>0.47</v>
      </c>
      <c r="AK66" s="49">
        <f t="shared" si="6"/>
        <v>0.48</v>
      </c>
      <c r="AL66" s="49">
        <f t="shared" si="6"/>
        <v>0.51</v>
      </c>
      <c r="AM66" s="49">
        <f t="shared" si="6"/>
        <v>0.48</v>
      </c>
      <c r="AN66" s="49">
        <f t="shared" si="6"/>
        <v>0.48</v>
      </c>
      <c r="AO66" s="49">
        <f t="shared" si="6"/>
        <v>0.49</v>
      </c>
      <c r="AP66" s="49">
        <f t="shared" si="6"/>
        <v>0.53</v>
      </c>
    </row>
    <row r="67" spans="23:42" s="47" customFormat="1" ht="10.5" x14ac:dyDescent="0.25"/>
    <row r="68" spans="23:42" s="47" customFormat="1" ht="10.5" x14ac:dyDescent="0.25"/>
  </sheetData>
  <sheetProtection algorithmName="SHA-512" hashValue="ZuBrXkncmXcRhYnroBOVt+3ty8Qgf+lOugRCH75tADuD2LefQbNbH6k3tvKF+cnNEDRETNekl6A5l2G6qUBhJw==" saltValue="R7vsezh614u/bfULs8gxgA==" spinCount="100000" sheet="1" objects="1" scenarios="1"/>
  <mergeCells count="5">
    <mergeCell ref="AU1:AW1"/>
    <mergeCell ref="K9:L9"/>
    <mergeCell ref="K5:L5"/>
    <mergeCell ref="K3:M3"/>
    <mergeCell ref="P5:Q5"/>
  </mergeCells>
  <phoneticPr fontId="13" type="noConversion"/>
  <pageMargins left="0.7" right="0.7" top="0.75" bottom="0.75" header="0.3" footer="0.3"/>
  <pageSetup paperSize="9" orientation="portrait" horizontalDpi="300" verticalDpi="30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6BF02F-0C8E-41C5-BC86-36E99BD8CCE8}">
  <sheetPr codeName="Sheet4">
    <outlinePr showOutlineSymbols="0"/>
  </sheetPr>
  <dimension ref="A1:BO52"/>
  <sheetViews>
    <sheetView showGridLines="0" showRowColHeaders="0" showOutlineSymbols="0" zoomScale="125" zoomScaleNormal="125" workbookViewId="0"/>
  </sheetViews>
  <sheetFormatPr defaultColWidth="0" defaultRowHeight="14.5" zeroHeight="1" x14ac:dyDescent="0.35"/>
  <cols>
    <col min="1" max="1" width="11.1796875" customWidth="1"/>
    <col min="2" max="2" width="13.81640625" customWidth="1"/>
    <col min="3" max="3" width="2" customWidth="1"/>
    <col min="4" max="4" width="12.26953125" customWidth="1"/>
    <col min="5" max="5" width="6.7265625" customWidth="1"/>
    <col min="6" max="7" width="5.81640625" customWidth="1"/>
    <col min="8" max="23" width="5.81640625" style="57" customWidth="1"/>
    <col min="24" max="24" width="4" customWidth="1"/>
    <col min="25" max="25" width="12.7265625" customWidth="1"/>
    <col min="26" max="26" width="9.1796875" customWidth="1"/>
    <col min="27" max="27" width="18.453125" customWidth="1"/>
    <col min="28" max="34" width="9.1796875" hidden="1" customWidth="1"/>
    <col min="35" max="35" width="9.1796875" style="156" hidden="1" customWidth="1"/>
    <col min="36" max="36" width="13.26953125" style="156" hidden="1" customWidth="1"/>
    <col min="37" max="37" width="9.7265625" style="156" hidden="1" customWidth="1"/>
    <col min="38" max="65" width="9.1796875" style="156" hidden="1" customWidth="1"/>
    <col min="66" max="66" width="9.1796875" hidden="1" customWidth="1"/>
    <col min="67" max="67" width="0" hidden="1" customWidth="1"/>
    <col min="68" max="16384" width="9.1796875" hidden="1"/>
  </cols>
  <sheetData>
    <row r="1" spans="1:66" ht="24.75" customHeight="1" thickBot="1" x14ac:dyDescent="0.4">
      <c r="D1" s="188" t="s">
        <v>118</v>
      </c>
      <c r="O1"/>
      <c r="P1"/>
      <c r="Q1"/>
      <c r="R1"/>
      <c r="S1"/>
      <c r="T1"/>
      <c r="U1"/>
      <c r="V1"/>
      <c r="W1"/>
      <c r="AJ1" s="157" t="s">
        <v>22</v>
      </c>
      <c r="AK1" s="158" t="s">
        <v>24</v>
      </c>
      <c r="AL1" s="158" t="s">
        <v>25</v>
      </c>
      <c r="AM1" s="158" t="s">
        <v>26</v>
      </c>
      <c r="AN1" s="158" t="s">
        <v>27</v>
      </c>
      <c r="AO1" s="158" t="s">
        <v>113</v>
      </c>
      <c r="AP1" s="158" t="s">
        <v>114</v>
      </c>
      <c r="AQ1" s="158" t="s">
        <v>76</v>
      </c>
      <c r="AR1" s="158" t="s">
        <v>77</v>
      </c>
      <c r="AS1" s="158"/>
      <c r="AT1" s="158"/>
      <c r="AU1" s="159" t="s">
        <v>78</v>
      </c>
      <c r="AV1" s="158"/>
      <c r="AW1" s="158"/>
      <c r="AX1" s="158"/>
      <c r="AY1" s="158"/>
      <c r="AZ1" s="158"/>
      <c r="BA1" s="158"/>
      <c r="BB1" s="158"/>
      <c r="BC1" s="158"/>
      <c r="BD1" s="158"/>
      <c r="BE1" s="158"/>
      <c r="BF1" s="158"/>
      <c r="BG1" s="158"/>
      <c r="BH1" s="158"/>
      <c r="BI1" s="158"/>
      <c r="BJ1" s="158"/>
      <c r="BK1" s="158"/>
      <c r="BL1" s="158"/>
      <c r="BM1" s="158"/>
      <c r="BN1" s="58"/>
    </row>
    <row r="2" spans="1:66" ht="56.25" customHeight="1" x14ac:dyDescent="0.35">
      <c r="E2" s="243" t="s">
        <v>119</v>
      </c>
      <c r="F2" s="244"/>
      <c r="G2" s="244"/>
      <c r="H2" s="244"/>
      <c r="I2" s="244"/>
      <c r="J2" s="244"/>
      <c r="K2" s="244"/>
      <c r="L2" s="244"/>
      <c r="M2" s="244"/>
      <c r="N2" s="244"/>
      <c r="O2" s="244"/>
      <c r="P2" s="244"/>
      <c r="Q2" s="244"/>
      <c r="R2" s="244"/>
      <c r="S2" s="244"/>
      <c r="T2" s="245"/>
      <c r="AJ2" s="157" t="s">
        <v>79</v>
      </c>
      <c r="AK2" s="160">
        <f>Z7</f>
        <v>0.11219999999999999</v>
      </c>
      <c r="AL2" s="161">
        <f>Z8</f>
        <v>0.83799999999999997</v>
      </c>
      <c r="AM2" s="158">
        <f>Z11</f>
        <v>9.0079999999999991</v>
      </c>
      <c r="AN2" s="158">
        <f>Z12</f>
        <v>109</v>
      </c>
      <c r="AO2" s="158">
        <f>Z9</f>
        <v>1.2</v>
      </c>
      <c r="AP2" s="158">
        <f>Z10</f>
        <v>19.96</v>
      </c>
      <c r="AQ2" s="158">
        <v>3.4119999999999999</v>
      </c>
      <c r="AR2" s="158">
        <v>100</v>
      </c>
      <c r="AS2" s="158"/>
      <c r="AT2" s="158"/>
      <c r="AU2" s="162">
        <v>2</v>
      </c>
      <c r="AV2" s="163">
        <v>3</v>
      </c>
      <c r="AW2" s="163">
        <v>4</v>
      </c>
      <c r="AX2" s="163">
        <v>5</v>
      </c>
      <c r="AY2" s="163">
        <v>6</v>
      </c>
      <c r="AZ2" s="163">
        <v>7</v>
      </c>
      <c r="BA2" s="163">
        <v>8</v>
      </c>
      <c r="BB2" s="163">
        <v>9</v>
      </c>
      <c r="BC2" s="163">
        <v>10</v>
      </c>
      <c r="BD2" s="163">
        <v>11</v>
      </c>
      <c r="BE2" s="163">
        <v>12</v>
      </c>
      <c r="BF2" s="163">
        <v>13</v>
      </c>
      <c r="BG2" s="163">
        <v>14</v>
      </c>
      <c r="BH2" s="163">
        <v>15</v>
      </c>
      <c r="BI2" s="163">
        <v>16</v>
      </c>
      <c r="BJ2" s="163">
        <v>17</v>
      </c>
      <c r="BK2" s="163">
        <v>18</v>
      </c>
      <c r="BL2" s="163">
        <v>19</v>
      </c>
      <c r="BM2" s="164">
        <v>20</v>
      </c>
      <c r="BN2" s="58"/>
    </row>
    <row r="3" spans="1:66" ht="36" customHeight="1" thickBot="1" x14ac:dyDescent="0.4">
      <c r="B3" s="238" t="s">
        <v>0</v>
      </c>
      <c r="E3" s="246"/>
      <c r="F3" s="247"/>
      <c r="G3" s="247"/>
      <c r="H3" s="247"/>
      <c r="I3" s="247"/>
      <c r="J3" s="247"/>
      <c r="K3" s="247"/>
      <c r="L3" s="247"/>
      <c r="M3" s="247"/>
      <c r="N3" s="247"/>
      <c r="O3" s="247"/>
      <c r="P3" s="247"/>
      <c r="Q3" s="247"/>
      <c r="R3" s="247"/>
      <c r="S3" s="247"/>
      <c r="T3" s="248"/>
      <c r="AJ3" s="157" t="s">
        <v>80</v>
      </c>
      <c r="AK3" s="160">
        <f>Z19</f>
        <v>0.11219999999999999</v>
      </c>
      <c r="AL3" s="161">
        <f>Z20</f>
        <v>0.83799999999999997</v>
      </c>
      <c r="AM3" s="158">
        <f>Z23</f>
        <v>8.27</v>
      </c>
      <c r="AN3" s="158">
        <f>Z24</f>
        <v>123</v>
      </c>
      <c r="AO3" s="158">
        <f>Z21</f>
        <v>0.47099999999999997</v>
      </c>
      <c r="AP3" s="158">
        <f>Z22</f>
        <v>14.7</v>
      </c>
      <c r="AQ3" s="158">
        <v>3.4119999999999999</v>
      </c>
      <c r="AR3" s="158">
        <v>100</v>
      </c>
      <c r="AS3" s="158"/>
      <c r="AT3" s="158"/>
      <c r="AU3" s="159" t="s">
        <v>78</v>
      </c>
      <c r="AV3" s="158"/>
      <c r="AW3" s="158"/>
      <c r="AX3" s="158"/>
      <c r="AY3" s="158"/>
      <c r="AZ3" s="158"/>
      <c r="BA3" s="158"/>
      <c r="BB3" s="158"/>
      <c r="BC3" s="158"/>
      <c r="BD3" s="158"/>
      <c r="BE3" s="158"/>
      <c r="BF3" s="158"/>
      <c r="BG3" s="158"/>
      <c r="BH3" s="158"/>
      <c r="BI3" s="158"/>
      <c r="BJ3" s="158"/>
      <c r="BK3" s="158"/>
      <c r="BL3" s="158"/>
      <c r="BM3" s="158"/>
      <c r="BN3" s="58"/>
    </row>
    <row r="4" spans="1:66" x14ac:dyDescent="0.35">
      <c r="B4" s="238"/>
      <c r="AJ4" s="158" t="s">
        <v>7</v>
      </c>
      <c r="AK4" s="158">
        <v>0.11219999999999999</v>
      </c>
      <c r="AL4" s="158">
        <v>0.83799999999999997</v>
      </c>
      <c r="AM4" s="158">
        <v>8.27</v>
      </c>
      <c r="AN4" s="158">
        <v>123</v>
      </c>
      <c r="AO4" s="158">
        <v>0.47099999999999997</v>
      </c>
      <c r="AP4" s="158">
        <v>14.7</v>
      </c>
      <c r="AQ4" s="158">
        <v>3.4119999999999999</v>
      </c>
      <c r="AR4" s="158">
        <v>100</v>
      </c>
      <c r="AS4" s="158"/>
      <c r="AT4" s="158"/>
      <c r="AU4" s="165">
        <v>1</v>
      </c>
      <c r="AV4" s="158"/>
      <c r="AW4" s="158"/>
      <c r="AX4" s="158"/>
      <c r="AY4" s="158"/>
      <c r="AZ4" s="158"/>
      <c r="BA4" s="158"/>
      <c r="BB4" s="158"/>
      <c r="BC4" s="158"/>
      <c r="BD4" s="158"/>
      <c r="BE4" s="158"/>
      <c r="BF4" s="158"/>
      <c r="BG4" s="158"/>
      <c r="BH4" s="158"/>
      <c r="BI4" s="158"/>
      <c r="BJ4" s="158"/>
      <c r="BK4" s="158"/>
      <c r="BL4" s="158"/>
      <c r="BM4" s="158"/>
      <c r="BN4" s="58"/>
    </row>
    <row r="5" spans="1:66" x14ac:dyDescent="0.35">
      <c r="A5" s="59" t="s">
        <v>4</v>
      </c>
      <c r="B5" s="59" t="s">
        <v>7</v>
      </c>
      <c r="D5" s="31" t="str">
        <f>"BPF_"&amp;B7</f>
        <v>BPF_Cost</v>
      </c>
      <c r="E5" s="32" t="s">
        <v>81</v>
      </c>
      <c r="F5" s="32"/>
      <c r="G5" s="32"/>
      <c r="H5" s="60"/>
      <c r="I5" s="60"/>
      <c r="J5" s="60"/>
      <c r="K5" s="60"/>
      <c r="L5" s="60"/>
      <c r="M5" s="60"/>
      <c r="N5" s="60"/>
      <c r="O5" s="60"/>
      <c r="P5" s="60"/>
      <c r="Q5" s="60"/>
      <c r="R5" s="60"/>
      <c r="S5" s="60"/>
      <c r="T5" s="60"/>
      <c r="U5" s="60"/>
      <c r="V5" s="60"/>
      <c r="W5" s="60"/>
      <c r="AJ5" s="158"/>
      <c r="AK5" s="158"/>
      <c r="AL5" s="158"/>
      <c r="AM5" s="166"/>
      <c r="AN5" s="167"/>
      <c r="AO5" s="167"/>
      <c r="AP5" s="167"/>
      <c r="AQ5" s="158"/>
      <c r="AR5" s="158"/>
      <c r="AS5" s="158"/>
      <c r="AT5" s="158"/>
      <c r="AU5" s="168">
        <v>2</v>
      </c>
      <c r="AV5" s="158"/>
      <c r="AW5" s="158"/>
      <c r="AX5" s="158"/>
      <c r="AY5" s="158"/>
      <c r="AZ5" s="158"/>
      <c r="BA5" s="158"/>
      <c r="BB5" s="158"/>
      <c r="BC5" s="158"/>
      <c r="BD5" s="158"/>
      <c r="BE5" s="158"/>
      <c r="BF5" s="158"/>
      <c r="BG5" s="158"/>
      <c r="BH5" s="158"/>
      <c r="BI5" s="158"/>
      <c r="BJ5" s="158"/>
      <c r="BK5" s="158"/>
      <c r="BL5" s="158"/>
      <c r="BM5" s="158"/>
      <c r="BN5" s="58"/>
    </row>
    <row r="6" spans="1:66" x14ac:dyDescent="0.35">
      <c r="A6" s="61" t="s">
        <v>82</v>
      </c>
      <c r="B6" s="74" t="s">
        <v>3</v>
      </c>
      <c r="C6" s="62"/>
      <c r="D6" s="63"/>
      <c r="E6" s="64" t="s">
        <v>39</v>
      </c>
      <c r="F6" s="64" t="s">
        <v>40</v>
      </c>
      <c r="G6" s="64" t="s">
        <v>41</v>
      </c>
      <c r="H6" s="65" t="s">
        <v>42</v>
      </c>
      <c r="I6" s="65" t="s">
        <v>43</v>
      </c>
      <c r="J6" s="65" t="s">
        <v>44</v>
      </c>
      <c r="K6" s="65" t="s">
        <v>45</v>
      </c>
      <c r="L6" s="65" t="s">
        <v>46</v>
      </c>
      <c r="M6" s="65" t="s">
        <v>47</v>
      </c>
      <c r="N6" s="65" t="s">
        <v>48</v>
      </c>
      <c r="O6" s="65" t="s">
        <v>49</v>
      </c>
      <c r="P6" s="65" t="s">
        <v>50</v>
      </c>
      <c r="Q6" s="65" t="s">
        <v>51</v>
      </c>
      <c r="R6" s="65" t="s">
        <v>52</v>
      </c>
      <c r="S6" s="65" t="s">
        <v>53</v>
      </c>
      <c r="T6" s="65" t="s">
        <v>54</v>
      </c>
      <c r="U6" s="65" t="s">
        <v>55</v>
      </c>
      <c r="V6" s="65" t="s">
        <v>56</v>
      </c>
      <c r="W6" s="65" t="s">
        <v>57</v>
      </c>
      <c r="Y6" s="240" t="s">
        <v>101</v>
      </c>
      <c r="Z6" s="241"/>
      <c r="AA6" s="242"/>
      <c r="AJ6" s="158"/>
      <c r="AK6" s="158"/>
      <c r="AL6" s="158"/>
      <c r="AM6" s="158"/>
      <c r="AN6" s="158"/>
      <c r="AO6" s="158"/>
      <c r="AP6" s="167"/>
      <c r="AQ6" s="158"/>
      <c r="AR6" s="158"/>
      <c r="AS6" s="158"/>
      <c r="AT6" s="158"/>
      <c r="AU6" s="168">
        <v>3</v>
      </c>
      <c r="AV6" s="158"/>
      <c r="AW6" s="158"/>
      <c r="AX6" s="158"/>
      <c r="AY6" s="158"/>
      <c r="AZ6" s="158"/>
      <c r="BA6" s="158"/>
      <c r="BB6" s="158"/>
      <c r="BC6" s="158"/>
      <c r="BD6" s="158"/>
      <c r="BE6" s="158"/>
      <c r="BF6" s="158"/>
      <c r="BG6" s="158"/>
      <c r="BH6" s="158"/>
      <c r="BI6" s="158"/>
      <c r="BJ6" s="158"/>
      <c r="BK6" s="158"/>
      <c r="BL6" s="158"/>
      <c r="BM6" s="158"/>
      <c r="BN6" s="58"/>
    </row>
    <row r="7" spans="1:66" x14ac:dyDescent="0.35">
      <c r="A7" s="61" t="s">
        <v>83</v>
      </c>
      <c r="B7" s="74" t="s">
        <v>31</v>
      </c>
      <c r="C7" s="62"/>
      <c r="D7" s="131" t="s">
        <v>58</v>
      </c>
      <c r="E7" s="135" cm="1">
        <f t="array" aca="1" ref="E7" ca="1">($B$9+$B$10*INDEX(INDIRECT($B$11),$AU4,AU$2))/($B$9*INDEX(INDIRECT($B$12),$AU4,AU$2)+$B$10*INDEX(INDIRECT($B$13),$AU4,AU$2))</f>
        <v>0.60829920930728798</v>
      </c>
      <c r="F7" s="135" cm="1">
        <f t="array" aca="1" ref="F7" ca="1">($B$9+$B$10*INDEX(INDIRECT($B$11),$AU4,AV$2))/($B$9*INDEX(INDIRECT($B$12),$AU4,AV$2)+$B$10*INDEX(INDIRECT($B$13),$AU4,AV$2))</f>
        <v>0.56742919710796647</v>
      </c>
      <c r="G7" s="135" cm="1">
        <f t="array" aca="1" ref="G7" ca="1">($B$9+$B$10*INDEX(INDIRECT($B$11),$AU4,AW$2))/($B$9*INDEX(INDIRECT($B$12),$AU4,AW$2)+$B$10*INDEX(INDIRECT($B$13),$AU4,AW$2))</f>
        <v>0.59831588934666091</v>
      </c>
      <c r="H7" s="136" cm="1">
        <f t="array" aca="1" ref="H7" ca="1">($B$9+$B$10*INDEX(INDIRECT($B$11),$AU4,AX$2))/($B$9*INDEX(INDIRECT($B$12),$AU4,AX$2)+$B$10*INDEX(INDIRECT($B$13),$AU4,AX$2))</f>
        <v>0.57392324596831334</v>
      </c>
      <c r="I7" s="136" cm="1">
        <f t="array" aca="1" ref="I7" ca="1">($B$9+$B$10*INDEX(INDIRECT($B$11),$AU4,AY$2))/($B$9*INDEX(INDIRECT($B$12),$AU4,AY$2)+$B$10*INDEX(INDIRECT($B$13),$AU4,AY$2))</f>
        <v>0.59220905682720204</v>
      </c>
      <c r="J7" s="136" cm="1">
        <f t="array" aca="1" ref="J7" ca="1">($B$9+$B$10*INDEX(INDIRECT($B$11),$AU4,AZ$2))/($B$9*INDEX(INDIRECT($B$12),$AU4,AZ$2)+$B$10*INDEX(INDIRECT($B$13),$AU4,AZ$2))</f>
        <v>0.56924126857450208</v>
      </c>
      <c r="K7" s="136" cm="1">
        <f t="array" aca="1" ref="K7" ca="1">($B$9+$B$10*INDEX(INDIRECT($B$11),$AU4,BA$2))/($B$9*INDEX(INDIRECT($B$12),$AU4,BA$2)+$B$10*INDEX(INDIRECT($B$13),$AU4,BA$2))</f>
        <v>0.57885816773740728</v>
      </c>
      <c r="L7" s="136" cm="1">
        <f t="array" aca="1" ref="L7" ca="1">($B$9+$B$10*INDEX(INDIRECT($B$11),$AU4,BB$2))/($B$9*INDEX(INDIRECT($B$12),$AU4,BB$2)+$B$10*INDEX(INDIRECT($B$13),$AU4,BB$2))</f>
        <v>0.57884696962487658</v>
      </c>
      <c r="M7" s="136" cm="1">
        <f t="array" aca="1" ref="M7" ca="1">($B$9+$B$10*INDEX(INDIRECT($B$11),$AU4,BC$2))/($B$9*INDEX(INDIRECT($B$12),$AU4,BC$2)+$B$10*INDEX(INDIRECT($B$13),$AU4,BC$2))</f>
        <v>0.46087580704309639</v>
      </c>
      <c r="N7" s="136" cm="1">
        <f t="array" aca="1" ref="N7" ca="1">($B$9+$B$10*INDEX(INDIRECT($B$11),$AU4,BD$2))/($B$9*INDEX(INDIRECT($B$12),$AU4,BD$2)+$B$10*INDEX(INDIRECT($B$13),$AU4,BD$2))</f>
        <v>0.55311444948705202</v>
      </c>
      <c r="O7" s="136" cm="1">
        <f t="array" aca="1" ref="O7" ca="1">($B$9+$B$10*INDEX(INDIRECT($B$11),$AU4,BE$2))/($B$9*INDEX(INDIRECT($B$12),$AU4,BE$2)+$B$10*INDEX(INDIRECT($B$13),$AU4,BE$2))</f>
        <v>0.57347654459683184</v>
      </c>
      <c r="P7" s="136" cm="1">
        <f t="array" aca="1" ref="P7" ca="1">($B$9+$B$10*INDEX(INDIRECT($B$11),$AU4,BF$2))/($B$9*INDEX(INDIRECT($B$12),$AU4,BF$2)+$B$10*INDEX(INDIRECT($B$13),$AU4,BF$2))</f>
        <v>0.55350033822013867</v>
      </c>
      <c r="Q7" s="136" cm="1">
        <f t="array" aca="1" ref="Q7" ca="1">($B$9+$B$10*INDEX(INDIRECT($B$11),$AU4,BG$2))/($B$9*INDEX(INDIRECT($B$12),$AU4,BG$2)+$B$10*INDEX(INDIRECT($B$13),$AU4,BG$2))</f>
        <v>0.54236301272160325</v>
      </c>
      <c r="R7" s="136" cm="1">
        <f t="array" aca="1" ref="R7" ca="1">($B$9+$B$10*INDEX(INDIRECT($B$11),$AU4,BH$2))/($B$9*INDEX(INDIRECT($B$12),$AU4,BH$2)+$B$10*INDEX(INDIRECT($B$13),$AU4,BH$2))</f>
        <v>0.55860360742907278</v>
      </c>
      <c r="S7" s="136" cm="1">
        <f t="array" aca="1" ref="S7" ca="1">($B$9+$B$10*INDEX(INDIRECT($B$11),$AU4,BI$2))/($B$9*INDEX(INDIRECT($B$12),$AU4,BI$2)+$B$10*INDEX(INDIRECT($B$13),$AU4,BI$2))</f>
        <v>0.56821624999364329</v>
      </c>
      <c r="T7" s="136" cm="1">
        <f t="array" aca="1" ref="T7" ca="1">($B$9+$B$10*INDEX(INDIRECT($B$11),$AU4,BJ$2))/($B$9*INDEX(INDIRECT($B$12),$AU4,BJ$2)+$B$10*INDEX(INDIRECT($B$13),$AU4,BJ$2))</f>
        <v>0.52650770498628696</v>
      </c>
      <c r="U7" s="136" cm="1">
        <f t="array" aca="1" ref="U7" ca="1">($B$9+$B$10*INDEX(INDIRECT($B$11),$AU4,BK$2))/($B$9*INDEX(INDIRECT($B$12),$AU4,BK$2)+$B$10*INDEX(INDIRECT($B$13),$AU4,BK$2))</f>
        <v>0.53478597102946168</v>
      </c>
      <c r="V7" s="136" cm="1">
        <f t="array" aca="1" ref="V7" ca="1">($B$9+$B$10*INDEX(INDIRECT($B$11),$AU4,BL$2))/($B$9*INDEX(INDIRECT($B$12),$AU4,BL$2)+$B$10*INDEX(INDIRECT($B$13),$AU4,BL$2))</f>
        <v>0.5381450853417844</v>
      </c>
      <c r="W7" s="136" cm="1">
        <f t="array" aca="1" ref="W7" ca="1">($B$9+$B$10*INDEX(INDIRECT($B$11),$AU4,BM$2))/($B$9*INDEX(INDIRECT($B$12),$AU4,BM$2)+$B$10*INDEX(INDIRECT($B$13),$AU4,BM$2))</f>
        <v>0.59497422090768148</v>
      </c>
      <c r="Y7" s="66" t="s">
        <v>84</v>
      </c>
      <c r="Z7" s="34">
        <v>0.11219999999999999</v>
      </c>
      <c r="AA7" s="67" t="s">
        <v>9</v>
      </c>
      <c r="AJ7" s="158"/>
      <c r="AK7" s="158"/>
      <c r="AL7" s="158"/>
      <c r="AM7" s="158"/>
      <c r="AN7" s="158"/>
      <c r="AO7" s="158"/>
      <c r="AP7" s="167"/>
      <c r="AQ7" s="158"/>
      <c r="AR7" s="158"/>
      <c r="AS7" s="158"/>
      <c r="AT7" s="158"/>
      <c r="AU7" s="168">
        <v>4</v>
      </c>
      <c r="AV7" s="158"/>
      <c r="AW7" s="158"/>
      <c r="AX7" s="158"/>
      <c r="AY7" s="158"/>
      <c r="AZ7" s="158"/>
      <c r="BA7" s="158"/>
      <c r="BB7" s="158"/>
      <c r="BC7" s="158"/>
      <c r="BD7" s="158"/>
      <c r="BE7" s="158"/>
      <c r="BF7" s="158"/>
      <c r="BG7" s="158"/>
      <c r="BH7" s="158"/>
      <c r="BI7" s="158"/>
      <c r="BJ7" s="158"/>
      <c r="BK7" s="158"/>
      <c r="BL7" s="158"/>
      <c r="BM7" s="158"/>
      <c r="BN7" s="58"/>
    </row>
    <row r="8" spans="1:66" x14ac:dyDescent="0.35">
      <c r="A8" s="239" t="s">
        <v>85</v>
      </c>
      <c r="B8" s="239"/>
      <c r="C8" s="62"/>
      <c r="D8" s="132" t="s">
        <v>62</v>
      </c>
      <c r="E8" s="138" cm="1">
        <f t="array" aca="1" ref="E8" ca="1">($B$9+$B$10*INDEX(INDIRECT($B$11),$AU5,AU$2))/($B$9*INDEX(INDIRECT($B$12),$AU5,AU$2)+$B$10*INDEX(INDIRECT($B$13),$AU5,AU$2))</f>
        <v>0.59823131223127457</v>
      </c>
      <c r="F8" s="138" cm="1">
        <f t="array" aca="1" ref="F8" ca="1">($B$9+$B$10*INDEX(INDIRECT($B$11),$AU5,AV$2))/($B$9*INDEX(INDIRECT($B$12),$AU5,AV$2)+$B$10*INDEX(INDIRECT($B$13),$AU5,AV$2))</f>
        <v>0.58599556516205464</v>
      </c>
      <c r="G8" s="138" cm="1">
        <f t="array" aca="1" ref="G8" ca="1">($B$9+$B$10*INDEX(INDIRECT($B$11),$AU5,AW$2))/($B$9*INDEX(INDIRECT($B$12),$AU5,AW$2)+$B$10*INDEX(INDIRECT($B$13),$AU5,AW$2))</f>
        <v>0.58811311017958934</v>
      </c>
      <c r="H8" s="139" cm="1">
        <f t="array" aca="1" ref="H8" ca="1">($B$9+$B$10*INDEX(INDIRECT($B$11),$AU5,AX$2))/($B$9*INDEX(INDIRECT($B$12),$AU5,AX$2)+$B$10*INDEX(INDIRECT($B$13),$AU5,AX$2))</f>
        <v>0.59528381107047057</v>
      </c>
      <c r="I8" s="139" cm="1">
        <f t="array" aca="1" ref="I8" ca="1">($B$9+$B$10*INDEX(INDIRECT($B$11),$AU5,AY$2))/($B$9*INDEX(INDIRECT($B$12),$AU5,AY$2)+$B$10*INDEX(INDIRECT($B$13),$AU5,AY$2))</f>
        <v>0.59943025275166018</v>
      </c>
      <c r="J8" s="139" cm="1">
        <f t="array" aca="1" ref="J8" ca="1">($B$9+$B$10*INDEX(INDIRECT($B$11),$AU5,AZ$2))/($B$9*INDEX(INDIRECT($B$12),$AU5,AZ$2)+$B$10*INDEX(INDIRECT($B$13),$AU5,AZ$2))</f>
        <v>0.59739989571864371</v>
      </c>
      <c r="K8" s="139" cm="1">
        <f t="array" aca="1" ref="K8" ca="1">($B$9+$B$10*INDEX(INDIRECT($B$11),$AU5,BA$2))/($B$9*INDEX(INDIRECT($B$12),$AU5,BA$2)+$B$10*INDEX(INDIRECT($B$13),$AU5,BA$2))</f>
        <v>0.58155955307944673</v>
      </c>
      <c r="L8" s="139" cm="1">
        <f t="array" aca="1" ref="L8" ca="1">($B$9+$B$10*INDEX(INDIRECT($B$11),$AU5,BB$2))/($B$9*INDEX(INDIRECT($B$12),$AU5,BB$2)+$B$10*INDEX(INDIRECT($B$13),$AU5,BB$2))</f>
        <v>0.58667270924489356</v>
      </c>
      <c r="M8" s="139" cm="1">
        <f t="array" aca="1" ref="M8" ca="1">($B$9+$B$10*INDEX(INDIRECT($B$11),$AU5,BC$2))/($B$9*INDEX(INDIRECT($B$12),$AU5,BC$2)+$B$10*INDEX(INDIRECT($B$13),$AU5,BC$2))</f>
        <v>0.55569480838328156</v>
      </c>
      <c r="N8" s="139" cm="1">
        <f t="array" aca="1" ref="N8" ca="1">($B$9+$B$10*INDEX(INDIRECT($B$11),$AU5,BD$2))/($B$9*INDEX(INDIRECT($B$12),$AU5,BD$2)+$B$10*INDEX(INDIRECT($B$13),$AU5,BD$2))</f>
        <v>0.55993221577936925</v>
      </c>
      <c r="O8" s="139" cm="1">
        <f t="array" aca="1" ref="O8" ca="1">($B$9+$B$10*INDEX(INDIRECT($B$11),$AU5,BE$2))/($B$9*INDEX(INDIRECT($B$12),$AU5,BE$2)+$B$10*INDEX(INDIRECT($B$13),$AU5,BE$2))</f>
        <v>0.57468027531468557</v>
      </c>
      <c r="P8" s="139" cm="1">
        <f t="array" aca="1" ref="P8" ca="1">($B$9+$B$10*INDEX(INDIRECT($B$11),$AU5,BF$2))/($B$9*INDEX(INDIRECT($B$12),$AU5,BF$2)+$B$10*INDEX(INDIRECT($B$13),$AU5,BF$2))</f>
        <v>0.57715100307926104</v>
      </c>
      <c r="Q8" s="139" cm="1">
        <f t="array" aca="1" ref="Q8" ca="1">($B$9+$B$10*INDEX(INDIRECT($B$11),$AU5,BG$2))/($B$9*INDEX(INDIRECT($B$12),$AU5,BG$2)+$B$10*INDEX(INDIRECT($B$13),$AU5,BG$2))</f>
        <v>0.57962858466602452</v>
      </c>
      <c r="R8" s="139" cm="1">
        <f t="array" aca="1" ref="R8" ca="1">($B$9+$B$10*INDEX(INDIRECT($B$11),$AU5,BH$2))/($B$9*INDEX(INDIRECT($B$12),$AU5,BH$2)+$B$10*INDEX(INDIRECT($B$13),$AU5,BH$2))</f>
        <v>0.56699796760563115</v>
      </c>
      <c r="S8" s="139" cm="1">
        <f t="array" aca="1" ref="S8" ca="1">($B$9+$B$10*INDEX(INDIRECT($B$11),$AU5,BI$2))/($B$9*INDEX(INDIRECT($B$12),$AU5,BI$2)+$B$10*INDEX(INDIRECT($B$13),$AU5,BI$2))</f>
        <v>0.53344007908835289</v>
      </c>
      <c r="T8" s="139" cm="1">
        <f t="array" aca="1" ref="T8" ca="1">($B$9+$B$10*INDEX(INDIRECT($B$11),$AU5,BJ$2))/($B$9*INDEX(INDIRECT($B$12),$AU5,BJ$2)+$B$10*INDEX(INDIRECT($B$13),$AU5,BJ$2))</f>
        <v>0.57192613022899941</v>
      </c>
      <c r="U8" s="139" cm="1">
        <f t="array" aca="1" ref="U8" ca="1">($B$9+$B$10*INDEX(INDIRECT($B$11),$AU5,BK$2))/($B$9*INDEX(INDIRECT($B$12),$AU5,BK$2)+$B$10*INDEX(INDIRECT($B$13),$AU5,BK$2))</f>
        <v>0.54622821060152571</v>
      </c>
      <c r="V8" s="139" cm="1">
        <f t="array" aca="1" ref="V8" ca="1">($B$9+$B$10*INDEX(INDIRECT($B$11),$AU5,BL$2))/($B$9*INDEX(INDIRECT($B$12),$AU5,BL$2)+$B$10*INDEX(INDIRECT($B$13),$AU5,BL$2))</f>
        <v>0.55321329187776291</v>
      </c>
      <c r="W8" s="139" cm="1">
        <f t="array" aca="1" ref="W8" ca="1">($B$9+$B$10*INDEX(INDIRECT($B$11),$AU5,BM$2))/($B$9*INDEX(INDIRECT($B$12),$AU5,BM$2)+$B$10*INDEX(INDIRECT($B$13),$AU5,BM$2))</f>
        <v>0.57092065183322427</v>
      </c>
      <c r="Y8" s="66" t="s">
        <v>86</v>
      </c>
      <c r="Z8" s="34">
        <v>0.83799999999999997</v>
      </c>
      <c r="AA8" s="67" t="s">
        <v>11</v>
      </c>
      <c r="AJ8" s="158"/>
      <c r="AK8" s="158"/>
      <c r="AL8" s="158"/>
      <c r="AM8" s="158"/>
      <c r="AN8" s="158"/>
      <c r="AO8" s="158"/>
      <c r="AP8" s="167"/>
      <c r="AQ8" s="158"/>
      <c r="AR8" s="158"/>
      <c r="AS8" s="158"/>
      <c r="AT8" s="158"/>
      <c r="AU8" s="168">
        <v>5</v>
      </c>
      <c r="AV8" s="158"/>
      <c r="AW8" s="158"/>
      <c r="AX8" s="158"/>
      <c r="AY8" s="158"/>
      <c r="AZ8" s="158"/>
      <c r="BA8" s="158"/>
      <c r="BB8" s="158"/>
      <c r="BC8" s="158"/>
      <c r="BD8" s="158"/>
      <c r="BE8" s="158"/>
      <c r="BF8" s="158"/>
      <c r="BG8" s="158"/>
      <c r="BH8" s="158"/>
      <c r="BI8" s="158"/>
      <c r="BJ8" s="158"/>
      <c r="BK8" s="158"/>
      <c r="BL8" s="158"/>
      <c r="BM8" s="158"/>
      <c r="BN8" s="58"/>
    </row>
    <row r="9" spans="1:66" x14ac:dyDescent="0.35">
      <c r="A9" s="124" t="s">
        <v>87</v>
      </c>
      <c r="B9" s="125" cm="1">
        <f t="array" ref="B9">IF($B$6="Custom",(INDEX($AJ$1:$AR$12,2,MATCH("Elec_"&amp;$B$7,$AK$1:$AR$1,0)+1)),(INDEX($AJ$1:$AR$12,MATCH($B$5,$AJ$4:$AJ$12)+3,MATCH("Elec_"&amp;$B$7,$AK$1:$AR$1,0)+1)))/3.412</f>
        <v>3.2883939038686985E-2</v>
      </c>
      <c r="C9" s="62"/>
      <c r="D9" s="132" t="s">
        <v>63</v>
      </c>
      <c r="E9" s="138" cm="1">
        <f t="array" aca="1" ref="E9" ca="1">($B$9+$B$10*INDEX(INDIRECT($B$11),$AU6,AU$2))/($B$9*INDEX(INDIRECT($B$12),$AU6,AU$2)+$B$10*INDEX(INDIRECT($B$13),$AU6,AU$2))</f>
        <v>0.58032707667227246</v>
      </c>
      <c r="F9" s="138" cm="1">
        <f t="array" aca="1" ref="F9" ca="1">($B$9+$B$10*INDEX(INDIRECT($B$11),$AU6,AV$2))/($B$9*INDEX(INDIRECT($B$12),$AU6,AV$2)+$B$10*INDEX(INDIRECT($B$13),$AU6,AV$2))</f>
        <v>0.56469333403306909</v>
      </c>
      <c r="G9" s="138" cm="1">
        <f t="array" aca="1" ref="G9" ca="1">($B$9+$B$10*INDEX(INDIRECT($B$11),$AU6,AW$2))/($B$9*INDEX(INDIRECT($B$12),$AU6,AW$2)+$B$10*INDEX(INDIRECT($B$13),$AU6,AW$2))</f>
        <v>0.57489293890830517</v>
      </c>
      <c r="H9" s="139" cm="1">
        <f t="array" aca="1" ref="H9" ca="1">($B$9+$B$10*INDEX(INDIRECT($B$11),$AU6,AX$2))/($B$9*INDEX(INDIRECT($B$12),$AU6,AX$2)+$B$10*INDEX(INDIRECT($B$13),$AU6,AX$2))</f>
        <v>0.55829362059242049</v>
      </c>
      <c r="I9" s="139" cm="1">
        <f t="array" aca="1" ref="I9" ca="1">($B$9+$B$10*INDEX(INDIRECT($B$11),$AU6,AY$2))/($B$9*INDEX(INDIRECT($B$12),$AU6,AY$2)+$B$10*INDEX(INDIRECT($B$13),$AU6,AY$2))</f>
        <v>0.55422371949686688</v>
      </c>
      <c r="J9" s="139" cm="1">
        <f t="array" aca="1" ref="J9" ca="1">($B$9+$B$10*INDEX(INDIRECT($B$11),$AU6,AZ$2))/($B$9*INDEX(INDIRECT($B$12),$AU6,AZ$2)+$B$10*INDEX(INDIRECT($B$13),$AU6,AZ$2))</f>
        <v>0.53513250694599757</v>
      </c>
      <c r="K9" s="139" cm="1">
        <f t="array" aca="1" ref="K9" ca="1">($B$9+$B$10*INDEX(INDIRECT($B$11),$AU6,BA$2))/($B$9*INDEX(INDIRECT($B$12),$AU6,BA$2)+$B$10*INDEX(INDIRECT($B$13),$AU6,BA$2))</f>
        <v>0.53911963299110655</v>
      </c>
      <c r="L9" s="139" cm="1">
        <f t="array" aca="1" ref="L9" ca="1">($B$9+$B$10*INDEX(INDIRECT($B$11),$AU6,BB$2))/($B$9*INDEX(INDIRECT($B$12),$AU6,BB$2)+$B$10*INDEX(INDIRECT($B$13),$AU6,BB$2))</f>
        <v>0.54386203281357692</v>
      </c>
      <c r="M9" s="139" cm="1">
        <f t="array" aca="1" ref="M9" ca="1">($B$9+$B$10*INDEX(INDIRECT($B$11),$AU6,BC$2))/($B$9*INDEX(INDIRECT($B$12),$AU6,BC$2)+$B$10*INDEX(INDIRECT($B$13),$AU6,BC$2))</f>
        <v>0.52639211772231376</v>
      </c>
      <c r="N9" s="139" cm="1">
        <f t="array" aca="1" ref="N9" ca="1">($B$9+$B$10*INDEX(INDIRECT($B$11),$AU6,BD$2))/($B$9*INDEX(INDIRECT($B$12),$AU6,BD$2)+$B$10*INDEX(INDIRECT($B$13),$AU6,BD$2))</f>
        <v>0.53093876818628272</v>
      </c>
      <c r="O9" s="139" cm="1">
        <f t="array" aca="1" ref="O9" ca="1">($B$9+$B$10*INDEX(INDIRECT($B$11),$AU6,BE$2))/($B$9*INDEX(INDIRECT($B$12),$AU6,BE$2)+$B$10*INDEX(INDIRECT($B$13),$AU6,BE$2))</f>
        <v>0.52942026916584028</v>
      </c>
      <c r="P9" s="139" cm="1">
        <f t="array" aca="1" ref="P9" ca="1">($B$9+$B$10*INDEX(INDIRECT($B$11),$AU6,BF$2))/($B$9*INDEX(INDIRECT($B$12),$AU6,BF$2)+$B$10*INDEX(INDIRECT($B$13),$AU6,BF$2))</f>
        <v>0.52224373197462703</v>
      </c>
      <c r="Q9" s="139" cm="1">
        <f t="array" aca="1" ref="Q9" ca="1">($B$9+$B$10*INDEX(INDIRECT($B$11),$AU6,BG$2))/($B$9*INDEX(INDIRECT($B$12),$AU6,BG$2)+$B$10*INDEX(INDIRECT($B$13),$AU6,BG$2))</f>
        <v>0.52721944886266503</v>
      </c>
      <c r="R9" s="139" cm="1">
        <f t="array" aca="1" ref="R9" ca="1">($B$9+$B$10*INDEX(INDIRECT($B$11),$AU6,BH$2))/($B$9*INDEX(INDIRECT($B$12),$AU6,BH$2)+$B$10*INDEX(INDIRECT($B$13),$AU6,BH$2))</f>
        <v>0.52794894586180252</v>
      </c>
      <c r="S9" s="139" cm="1">
        <f t="array" aca="1" ref="S9" ca="1">($B$9+$B$10*INDEX(INDIRECT($B$11),$AU6,BI$2))/($B$9*INDEX(INDIRECT($B$12),$AU6,BI$2)+$B$10*INDEX(INDIRECT($B$13),$AU6,BI$2))</f>
        <v>0.52844687355385656</v>
      </c>
      <c r="T9" s="139" cm="1">
        <f t="array" aca="1" ref="T9" ca="1">($B$9+$B$10*INDEX(INDIRECT($B$11),$AU6,BJ$2))/($B$9*INDEX(INDIRECT($B$12),$AU6,BJ$2)+$B$10*INDEX(INDIRECT($B$13),$AU6,BJ$2))</f>
        <v>0.52500314544756044</v>
      </c>
      <c r="U9" s="139" cm="1">
        <f t="array" aca="1" ref="U9" ca="1">($B$9+$B$10*INDEX(INDIRECT($B$11),$AU6,BK$2))/($B$9*INDEX(INDIRECT($B$12),$AU6,BK$2)+$B$10*INDEX(INDIRECT($B$13),$AU6,BK$2))</f>
        <v>0.52946870603441964</v>
      </c>
      <c r="V9" s="139" cm="1">
        <f t="array" aca="1" ref="V9" ca="1">($B$9+$B$10*INDEX(INDIRECT($B$11),$AU6,BL$2))/($B$9*INDEX(INDIRECT($B$12),$AU6,BL$2)+$B$10*INDEX(INDIRECT($B$13),$AU6,BL$2))</f>
        <v>0.52419770342786798</v>
      </c>
      <c r="W9" s="139" cm="1">
        <f t="array" aca="1" ref="W9" ca="1">($B$9+$B$10*INDEX(INDIRECT($B$11),$AU6,BM$2))/($B$9*INDEX(INDIRECT($B$12),$AU6,BM$2)+$B$10*INDEX(INDIRECT($B$13),$AU6,BM$2))</f>
        <v>0.52731946744551483</v>
      </c>
      <c r="Y9" s="66" t="s">
        <v>109</v>
      </c>
      <c r="Z9" s="35">
        <v>1.2</v>
      </c>
      <c r="AA9" s="67" t="s">
        <v>13</v>
      </c>
      <c r="AJ9" s="158"/>
      <c r="AK9" s="158"/>
      <c r="AL9" s="158"/>
      <c r="AM9" s="166"/>
      <c r="AN9" s="167"/>
      <c r="AO9" s="167"/>
      <c r="AP9" s="167"/>
      <c r="AQ9" s="158"/>
      <c r="AR9" s="158"/>
      <c r="AS9" s="158"/>
      <c r="AT9" s="158"/>
      <c r="AU9" s="168">
        <v>6</v>
      </c>
      <c r="AV9" s="158"/>
      <c r="AW9" s="158"/>
      <c r="AX9" s="158"/>
      <c r="AY9" s="158"/>
      <c r="AZ9" s="158"/>
      <c r="BA9" s="158"/>
      <c r="BB9" s="158"/>
      <c r="BC9" s="158"/>
      <c r="BD9" s="158"/>
      <c r="BE9" s="158"/>
      <c r="BF9" s="158"/>
      <c r="BG9" s="158"/>
      <c r="BH9" s="158"/>
      <c r="BI9" s="158"/>
      <c r="BJ9" s="158"/>
      <c r="BK9" s="158"/>
      <c r="BL9" s="158"/>
      <c r="BM9" s="158"/>
      <c r="BN9" s="58"/>
    </row>
    <row r="10" spans="1:66" x14ac:dyDescent="0.35">
      <c r="A10" s="126" t="s">
        <v>88</v>
      </c>
      <c r="B10" s="127" cm="1">
        <f t="array" ref="B10">IF($B$6="Custom",(INDEX($AJ$1:$AR$12,2,MATCH("Gas_"&amp;$B$7,$AK$1:$AR$1,0)+1)),(INDEX($AJ$1:$AR$12,MATCH($B$5,$AJ$4:$AJ$12)+3,MATCH("Gas_"&amp;$B$7,$AK$1:$AR$1,0)+1)))/100</f>
        <v>8.3800000000000003E-3</v>
      </c>
      <c r="C10" s="62"/>
      <c r="D10" s="132" t="s">
        <v>64</v>
      </c>
      <c r="E10" s="138" cm="1">
        <f t="array" aca="1" ref="E10" ca="1">($B$9+$B$10*INDEX(INDIRECT($B$11),$AU7,AU$2))/($B$9*INDEX(INDIRECT($B$12),$AU7,AU$2)+$B$10*INDEX(INDIRECT($B$13),$AU7,AU$2))</f>
        <v>0.42809668008915525</v>
      </c>
      <c r="F10" s="138" cm="1">
        <f t="array" aca="1" ref="F10" ca="1">($B$9+$B$10*INDEX(INDIRECT($B$11),$AU7,AV$2))/($B$9*INDEX(INDIRECT($B$12),$AU7,AV$2)+$B$10*INDEX(INDIRECT($B$13),$AU7,AV$2))</f>
        <v>0.41775894685786108</v>
      </c>
      <c r="G10" s="138" cm="1">
        <f t="array" aca="1" ref="G10" ca="1">($B$9+$B$10*INDEX(INDIRECT($B$11),$AU7,AW$2))/($B$9*INDEX(INDIRECT($B$12),$AU7,AW$2)+$B$10*INDEX(INDIRECT($B$13),$AU7,AW$2))</f>
        <v>0.40318724517391441</v>
      </c>
      <c r="H10" s="139" cm="1">
        <f t="array" aca="1" ref="H10" ca="1">($B$9+$B$10*INDEX(INDIRECT($B$11),$AU7,AX$2))/($B$9*INDEX(INDIRECT($B$12),$AU7,AX$2)+$B$10*INDEX(INDIRECT($B$13),$AU7,AX$2))</f>
        <v>0.40588781698686055</v>
      </c>
      <c r="I10" s="139" cm="1">
        <f t="array" aca="1" ref="I10" ca="1">($B$9+$B$10*INDEX(INDIRECT($B$11),$AU7,AY$2))/($B$9*INDEX(INDIRECT($B$12),$AU7,AY$2)+$B$10*INDEX(INDIRECT($B$13),$AU7,AY$2))</f>
        <v>0.36917358843813936</v>
      </c>
      <c r="J10" s="139" cm="1">
        <f t="array" aca="1" ref="J10" ca="1">($B$9+$B$10*INDEX(INDIRECT($B$11),$AU7,AZ$2))/($B$9*INDEX(INDIRECT($B$12),$AU7,AZ$2)+$B$10*INDEX(INDIRECT($B$13),$AU7,AZ$2))</f>
        <v>0.3878098303472724</v>
      </c>
      <c r="K10" s="139" cm="1">
        <f t="array" aca="1" ref="K10" ca="1">($B$9+$B$10*INDEX(INDIRECT($B$11),$AU7,BA$2))/($B$9*INDEX(INDIRECT($B$12),$AU7,BA$2)+$B$10*INDEX(INDIRECT($B$13),$AU7,BA$2))</f>
        <v>0.36818607367507689</v>
      </c>
      <c r="L10" s="139" cm="1">
        <f t="array" aca="1" ref="L10" ca="1">($B$9+$B$10*INDEX(INDIRECT($B$11),$AU7,BB$2))/($B$9*INDEX(INDIRECT($B$12),$AU7,BB$2)+$B$10*INDEX(INDIRECT($B$13),$AU7,BB$2))</f>
        <v>0.38306839526299985</v>
      </c>
      <c r="M10" s="139" cm="1">
        <f t="array" aca="1" ref="M10" ca="1">($B$9+$B$10*INDEX(INDIRECT($B$11),$AU7,BC$2))/($B$9*INDEX(INDIRECT($B$12),$AU7,BC$2)+$B$10*INDEX(INDIRECT($B$13),$AU7,BC$2))</f>
        <v>0.34977757821666761</v>
      </c>
      <c r="N10" s="139" cm="1">
        <f t="array" aca="1" ref="N10" ca="1">($B$9+$B$10*INDEX(INDIRECT($B$11),$AU7,BD$2))/($B$9*INDEX(INDIRECT($B$12),$AU7,BD$2)+$B$10*INDEX(INDIRECT($B$13),$AU7,BD$2))</f>
        <v>0.35116608820729617</v>
      </c>
      <c r="O10" s="139" cm="1">
        <f t="array" aca="1" ref="O10" ca="1">($B$9+$B$10*INDEX(INDIRECT($B$11),$AU7,BE$2))/($B$9*INDEX(INDIRECT($B$12),$AU7,BE$2)+$B$10*INDEX(INDIRECT($B$13),$AU7,BE$2))</f>
        <v>0.36692133116931719</v>
      </c>
      <c r="P10" s="139" cm="1">
        <f t="array" aca="1" ref="P10" ca="1">($B$9+$B$10*INDEX(INDIRECT($B$11),$AU7,BF$2))/($B$9*INDEX(INDIRECT($B$12),$AU7,BF$2)+$B$10*INDEX(INDIRECT($B$13),$AU7,BF$2))</f>
        <v>0.36153482460975733</v>
      </c>
      <c r="Q10" s="139" cm="1">
        <f t="array" aca="1" ref="Q10" ca="1">($B$9+$B$10*INDEX(INDIRECT($B$11),$AU7,BG$2))/($B$9*INDEX(INDIRECT($B$12),$AU7,BG$2)+$B$10*INDEX(INDIRECT($B$13),$AU7,BG$2))</f>
        <v>0.36543601678891946</v>
      </c>
      <c r="R10" s="139" cm="1">
        <f t="array" aca="1" ref="R10" ca="1">($B$9+$B$10*INDEX(INDIRECT($B$11),$AU7,BH$2))/($B$9*INDEX(INDIRECT($B$12),$AU7,BH$2)+$B$10*INDEX(INDIRECT($B$13),$AU7,BH$2))</f>
        <v>0.36699156849269249</v>
      </c>
      <c r="S10" s="139" cm="1">
        <f t="array" aca="1" ref="S10" ca="1">($B$9+$B$10*INDEX(INDIRECT($B$11),$AU7,BI$2))/($B$9*INDEX(INDIRECT($B$12),$AU7,BI$2)+$B$10*INDEX(INDIRECT($B$13),$AU7,BI$2))</f>
        <v>0.36634622259422139</v>
      </c>
      <c r="T10" s="139" cm="1">
        <f t="array" aca="1" ref="T10" ca="1">($B$9+$B$10*INDEX(INDIRECT($B$11),$AU7,BJ$2))/($B$9*INDEX(INDIRECT($B$12),$AU7,BJ$2)+$B$10*INDEX(INDIRECT($B$13),$AU7,BJ$2))</f>
        <v>0.37639901144137411</v>
      </c>
      <c r="U10" s="139" cm="1">
        <f t="array" aca="1" ref="U10" ca="1">($B$9+$B$10*INDEX(INDIRECT($B$11),$AU7,BK$2))/($B$9*INDEX(INDIRECT($B$12),$AU7,BK$2)+$B$10*INDEX(INDIRECT($B$13),$AU7,BK$2))</f>
        <v>0.36437393464557455</v>
      </c>
      <c r="V10" s="139" cm="1">
        <f t="array" aca="1" ref="V10" ca="1">($B$9+$B$10*INDEX(INDIRECT($B$11),$AU7,BL$2))/($B$9*INDEX(INDIRECT($B$12),$AU7,BL$2)+$B$10*INDEX(INDIRECT($B$13),$AU7,BL$2))</f>
        <v>0.36060942774757171</v>
      </c>
      <c r="W10" s="139" cm="1">
        <f t="array" aca="1" ref="W10" ca="1">($B$9+$B$10*INDEX(INDIRECT($B$11),$AU7,BM$2))/($B$9*INDEX(INDIRECT($B$12),$AU7,BM$2)+$B$10*INDEX(INDIRECT($B$13),$AU7,BM$2))</f>
        <v>0.387309726522098</v>
      </c>
      <c r="Y10" s="66" t="s">
        <v>110</v>
      </c>
      <c r="Z10" s="35">
        <v>19.96</v>
      </c>
      <c r="AA10" s="67" t="s">
        <v>15</v>
      </c>
      <c r="AJ10" s="158"/>
      <c r="AK10" s="158"/>
      <c r="AL10" s="158"/>
      <c r="AM10" s="167"/>
      <c r="AN10" s="167"/>
      <c r="AO10" s="167"/>
      <c r="AP10" s="167"/>
      <c r="AQ10" s="158"/>
      <c r="AR10" s="158"/>
      <c r="AS10" s="158"/>
      <c r="AT10" s="158"/>
      <c r="AU10" s="168">
        <v>7</v>
      </c>
      <c r="AV10" s="158"/>
      <c r="AW10" s="158"/>
      <c r="AX10" s="158"/>
      <c r="AY10" s="158"/>
      <c r="AZ10" s="158"/>
      <c r="BA10" s="158"/>
      <c r="BB10" s="158"/>
      <c r="BC10" s="158"/>
      <c r="BD10" s="158"/>
      <c r="BE10" s="158"/>
      <c r="BF10" s="158"/>
      <c r="BG10" s="158"/>
      <c r="BH10" s="158"/>
      <c r="BI10" s="158"/>
      <c r="BJ10" s="158"/>
      <c r="BK10" s="158"/>
      <c r="BL10" s="158"/>
      <c r="BM10" s="158"/>
      <c r="BN10" s="58"/>
    </row>
    <row r="11" spans="1:66" x14ac:dyDescent="0.35">
      <c r="A11" s="126" t="s">
        <v>89</v>
      </c>
      <c r="B11" s="128" t="str">
        <f>IF($B$6="Custom",VLOOKUP($B$5,Code_year_options,2,FALSE),VLOOKUP($B$5&amp;"_Pub",Code_year_options,2,FALSE))</f>
        <v>A_2025_v4</v>
      </c>
      <c r="C11" s="62"/>
      <c r="D11" s="132" t="s">
        <v>65</v>
      </c>
      <c r="E11" s="138" cm="1">
        <f t="array" aca="1" ref="E11" ca="1">($B$9+$B$10*INDEX(INDIRECT($B$11),$AU8,AU$2))/($B$9*INDEX(INDIRECT($B$12),$AU8,AU$2)+$B$10*INDEX(INDIRECT($B$13),$AU8,AU$2))</f>
        <v>0.57392478274940606</v>
      </c>
      <c r="F11" s="138" cm="1">
        <f t="array" aca="1" ref="F11" ca="1">($B$9+$B$10*INDEX(INDIRECT($B$11),$AU8,AV$2))/($B$9*INDEX(INDIRECT($B$12),$AU8,AV$2)+$B$10*INDEX(INDIRECT($B$13),$AU8,AV$2))</f>
        <v>0.55238166125897936</v>
      </c>
      <c r="G11" s="138" cm="1">
        <f t="array" aca="1" ref="G11" ca="1">($B$9+$B$10*INDEX(INDIRECT($B$11),$AU8,AW$2))/($B$9*INDEX(INDIRECT($B$12),$AU8,AW$2)+$B$10*INDEX(INDIRECT($B$13),$AU8,AW$2))</f>
        <v>0.557586367242773</v>
      </c>
      <c r="H11" s="139" cm="1">
        <f t="array" aca="1" ref="H11" ca="1">($B$9+$B$10*INDEX(INDIRECT($B$11),$AU8,AX$2))/($B$9*INDEX(INDIRECT($B$12),$AU8,AX$2)+$B$10*INDEX(INDIRECT($B$13),$AU8,AX$2))</f>
        <v>0.55007759820215485</v>
      </c>
      <c r="I11" s="139" cm="1">
        <f t="array" aca="1" ref="I11" ca="1">($B$9+$B$10*INDEX(INDIRECT($B$11),$AU8,AY$2))/($B$9*INDEX(INDIRECT($B$12),$AU8,AY$2)+$B$10*INDEX(INDIRECT($B$13),$AU8,AY$2))</f>
        <v>0.54991211971059017</v>
      </c>
      <c r="J11" s="139" cm="1">
        <f t="array" aca="1" ref="J11" ca="1">($B$9+$B$10*INDEX(INDIRECT($B$11),$AU8,AZ$2))/($B$9*INDEX(INDIRECT($B$12),$AU8,AZ$2)+$B$10*INDEX(INDIRECT($B$13),$AU8,AZ$2))</f>
        <v>0.54668820028460297</v>
      </c>
      <c r="K11" s="139" cm="1">
        <f t="array" aca="1" ref="K11" ca="1">($B$9+$B$10*INDEX(INDIRECT($B$11),$AU8,BA$2))/($B$9*INDEX(INDIRECT($B$12),$AU8,BA$2)+$B$10*INDEX(INDIRECT($B$13),$AU8,BA$2))</f>
        <v>0.58345542832032016</v>
      </c>
      <c r="L11" s="139" cm="1">
        <f t="array" aca="1" ref="L11" ca="1">($B$9+$B$10*INDEX(INDIRECT($B$11),$AU8,BB$2))/($B$9*INDEX(INDIRECT($B$12),$AU8,BB$2)+$B$10*INDEX(INDIRECT($B$13),$AU8,BB$2))</f>
        <v>0.5560934534076033</v>
      </c>
      <c r="M11" s="139" cm="1">
        <f t="array" aca="1" ref="M11" ca="1">($B$9+$B$10*INDEX(INDIRECT($B$11),$AU8,BC$2))/($B$9*INDEX(INDIRECT($B$12),$AU8,BC$2)+$B$10*INDEX(INDIRECT($B$13),$AU8,BC$2))</f>
        <v>0.54415741292005371</v>
      </c>
      <c r="N11" s="139" cm="1">
        <f t="array" aca="1" ref="N11" ca="1">($B$9+$B$10*INDEX(INDIRECT($B$11),$AU8,BD$2))/($B$9*INDEX(INDIRECT($B$12),$AU8,BD$2)+$B$10*INDEX(INDIRECT($B$13),$AU8,BD$2))</f>
        <v>0.58998048471549613</v>
      </c>
      <c r="O11" s="139" cm="1">
        <f t="array" aca="1" ref="O11" ca="1">($B$9+$B$10*INDEX(INDIRECT($B$11),$AU8,BE$2))/($B$9*INDEX(INDIRECT($B$12),$AU8,BE$2)+$B$10*INDEX(INDIRECT($B$13),$AU8,BE$2))</f>
        <v>0.56965505729482191</v>
      </c>
      <c r="P11" s="139" cm="1">
        <f t="array" aca="1" ref="P11" ca="1">($B$9+$B$10*INDEX(INDIRECT($B$11),$AU8,BF$2))/($B$9*INDEX(INDIRECT($B$12),$AU8,BF$2)+$B$10*INDEX(INDIRECT($B$13),$AU8,BF$2))</f>
        <v>0.59526838315985264</v>
      </c>
      <c r="Q11" s="139" cm="1">
        <f t="array" aca="1" ref="Q11" ca="1">($B$9+$B$10*INDEX(INDIRECT($B$11),$AU8,BG$2))/($B$9*INDEX(INDIRECT($B$12),$AU8,BG$2)+$B$10*INDEX(INDIRECT($B$13),$AU8,BG$2))</f>
        <v>0.62101775050116714</v>
      </c>
      <c r="R11" s="139" cm="1">
        <f t="array" aca="1" ref="R11" ca="1">($B$9+$B$10*INDEX(INDIRECT($B$11),$AU8,BH$2))/($B$9*INDEX(INDIRECT($B$12),$AU8,BH$2)+$B$10*INDEX(INDIRECT($B$13),$AU8,BH$2))</f>
        <v>0.59073591302723816</v>
      </c>
      <c r="S11" s="139" cm="1">
        <f t="array" aca="1" ref="S11" ca="1">($B$9+$B$10*INDEX(INDIRECT($B$11),$AU8,BI$2))/($B$9*INDEX(INDIRECT($B$12),$AU8,BI$2)+$B$10*INDEX(INDIRECT($B$13),$AU8,BI$2))</f>
        <v>0.60909249690802358</v>
      </c>
      <c r="T11" s="139" cm="1">
        <f t="array" aca="1" ref="T11" ca="1">($B$9+$B$10*INDEX(INDIRECT($B$11),$AU8,BJ$2))/($B$9*INDEX(INDIRECT($B$12),$AU8,BJ$2)+$B$10*INDEX(INDIRECT($B$13),$AU8,BJ$2))</f>
        <v>0.62839201506534526</v>
      </c>
      <c r="U11" s="139" cm="1">
        <f t="array" aca="1" ref="U11" ca="1">($B$9+$B$10*INDEX(INDIRECT($B$11),$AU8,BK$2))/($B$9*INDEX(INDIRECT($B$12),$AU8,BK$2)+$B$10*INDEX(INDIRECT($B$13),$AU8,BK$2))</f>
        <v>0.60728611313160652</v>
      </c>
      <c r="V11" s="139" cm="1">
        <f t="array" aca="1" ref="V11" ca="1">($B$9+$B$10*INDEX(INDIRECT($B$11),$AU8,BL$2))/($B$9*INDEX(INDIRECT($B$12),$AU8,BL$2)+$B$10*INDEX(INDIRECT($B$13),$AU8,BL$2))</f>
        <v>0.63906700526239346</v>
      </c>
      <c r="W11" s="139" cm="1">
        <f t="array" aca="1" ref="W11" ca="1">($B$9+$B$10*INDEX(INDIRECT($B$11),$AU8,BM$2))/($B$9*INDEX(INDIRECT($B$12),$AU8,BM$2)+$B$10*INDEX(INDIRECT($B$13),$AU8,BM$2))</f>
        <v>0.67014054858692729</v>
      </c>
      <c r="Y11" s="66" t="s">
        <v>90</v>
      </c>
      <c r="Z11" s="35">
        <v>9.0079999999999991</v>
      </c>
      <c r="AA11" s="67" t="s">
        <v>18</v>
      </c>
      <c r="AJ11" s="158"/>
      <c r="AK11" s="158"/>
      <c r="AL11" s="158"/>
      <c r="AM11" s="167"/>
      <c r="AN11" s="167"/>
      <c r="AO11" s="167"/>
      <c r="AP11" s="167"/>
      <c r="AQ11" s="158"/>
      <c r="AR11" s="158"/>
      <c r="AS11" s="158"/>
      <c r="AT11" s="158"/>
      <c r="AU11" s="168">
        <v>8</v>
      </c>
      <c r="AV11" s="158"/>
      <c r="AW11" s="158"/>
      <c r="AX11" s="158"/>
      <c r="AY11" s="158"/>
      <c r="AZ11" s="158"/>
      <c r="BA11" s="158"/>
      <c r="BB11" s="158"/>
      <c r="BC11" s="158"/>
      <c r="BD11" s="158"/>
      <c r="BE11" s="158"/>
      <c r="BF11" s="158"/>
      <c r="BG11" s="158"/>
      <c r="BH11" s="158"/>
      <c r="BI11" s="158"/>
      <c r="BJ11" s="158"/>
      <c r="BK11" s="158"/>
      <c r="BL11" s="158"/>
      <c r="BM11" s="158"/>
      <c r="BN11" s="58"/>
    </row>
    <row r="12" spans="1:66" x14ac:dyDescent="0.35">
      <c r="A12" s="126" t="s">
        <v>91</v>
      </c>
      <c r="B12" s="128" t="str">
        <f>IF($B$6="Custom",VLOOKUP($B$5,Code_year_options,3,FALSE),VLOOKUP($B$5&amp;"_Pub",Code_year_options,3,FALSE))</f>
        <v>B_2025_v4</v>
      </c>
      <c r="C12" s="62"/>
      <c r="D12" s="132" t="s">
        <v>66</v>
      </c>
      <c r="E12" s="138" cm="1">
        <f t="array" aca="1" ref="E12" ca="1">($B$9+$B$10*INDEX(INDIRECT($B$11),$AU9,AU$2))/($B$9*INDEX(INDIRECT($B$12),$AU9,AU$2)+$B$10*INDEX(INDIRECT($B$13),$AU9,AU$2))</f>
        <v>0.41484224398304331</v>
      </c>
      <c r="F12" s="138" cm="1">
        <f t="array" aca="1" ref="F12" ca="1">($B$9+$B$10*INDEX(INDIRECT($B$11),$AU9,AV$2))/($B$9*INDEX(INDIRECT($B$12),$AU9,AV$2)+$B$10*INDEX(INDIRECT($B$13),$AU9,AV$2))</f>
        <v>0.39993621933363221</v>
      </c>
      <c r="G12" s="138" cm="1">
        <f t="array" aca="1" ref="G12" ca="1">($B$9+$B$10*INDEX(INDIRECT($B$11),$AU9,AW$2))/($B$9*INDEX(INDIRECT($B$12),$AU9,AW$2)+$B$10*INDEX(INDIRECT($B$13),$AU9,AW$2))</f>
        <v>0.3753426671256872</v>
      </c>
      <c r="H12" s="139" cm="1">
        <f t="array" aca="1" ref="H12" ca="1">($B$9+$B$10*INDEX(INDIRECT($B$11),$AU9,AX$2))/($B$9*INDEX(INDIRECT($B$12),$AU9,AX$2)+$B$10*INDEX(INDIRECT($B$13),$AU9,AX$2))</f>
        <v>0.38788826345088839</v>
      </c>
      <c r="I12" s="139" cm="1">
        <f t="array" aca="1" ref="I12" ca="1">($B$9+$B$10*INDEX(INDIRECT($B$11),$AU9,AY$2))/($B$9*INDEX(INDIRECT($B$12),$AU9,AY$2)+$B$10*INDEX(INDIRECT($B$13),$AU9,AY$2))</f>
        <v>0.33451469849862581</v>
      </c>
      <c r="J12" s="139" cm="1">
        <f t="array" aca="1" ref="J12" ca="1">($B$9+$B$10*INDEX(INDIRECT($B$11),$AU9,AZ$2))/($B$9*INDEX(INDIRECT($B$12),$AU9,AZ$2)+$B$10*INDEX(INDIRECT($B$13),$AU9,AZ$2))</f>
        <v>0.34277264310407424</v>
      </c>
      <c r="K12" s="139" cm="1">
        <f t="array" aca="1" ref="K12" ca="1">($B$9+$B$10*INDEX(INDIRECT($B$11),$AU9,BA$2))/($B$9*INDEX(INDIRECT($B$12),$AU9,BA$2)+$B$10*INDEX(INDIRECT($B$13),$AU9,BA$2))</f>
        <v>0.33517797868988403</v>
      </c>
      <c r="L12" s="139" cm="1">
        <f t="array" aca="1" ref="L12" ca="1">($B$9+$B$10*INDEX(INDIRECT($B$11),$AU9,BB$2))/($B$9*INDEX(INDIRECT($B$12),$AU9,BB$2)+$B$10*INDEX(INDIRECT($B$13),$AU9,BB$2))</f>
        <v>0.34124130541527548</v>
      </c>
      <c r="M12" s="139" cm="1">
        <f t="array" aca="1" ref="M12" ca="1">($B$9+$B$10*INDEX(INDIRECT($B$11),$AU9,BC$2))/($B$9*INDEX(INDIRECT($B$12),$AU9,BC$2)+$B$10*INDEX(INDIRECT($B$13),$AU9,BC$2))</f>
        <v>0.34072409221537592</v>
      </c>
      <c r="N12" s="139" cm="1">
        <f t="array" aca="1" ref="N12" ca="1">($B$9+$B$10*INDEX(INDIRECT($B$11),$AU9,BD$2))/($B$9*INDEX(INDIRECT($B$12),$AU9,BD$2)+$B$10*INDEX(INDIRECT($B$13),$AU9,BD$2))</f>
        <v>0.3460433009105347</v>
      </c>
      <c r="O12" s="139" cm="1">
        <f t="array" aca="1" ref="O12" ca="1">($B$9+$B$10*INDEX(INDIRECT($B$11),$AU9,BE$2))/($B$9*INDEX(INDIRECT($B$12),$AU9,BE$2)+$B$10*INDEX(INDIRECT($B$13),$AU9,BE$2))</f>
        <v>0.36122713425703401</v>
      </c>
      <c r="P12" s="139" cm="1">
        <f t="array" aca="1" ref="P12" ca="1">($B$9+$B$10*INDEX(INDIRECT($B$11),$AU9,BF$2))/($B$9*INDEX(INDIRECT($B$12),$AU9,BF$2)+$B$10*INDEX(INDIRECT($B$13),$AU9,BF$2))</f>
        <v>0.36859711727179906</v>
      </c>
      <c r="Q12" s="139" cm="1">
        <f t="array" aca="1" ref="Q12" ca="1">($B$9+$B$10*INDEX(INDIRECT($B$11),$AU9,BG$2))/($B$9*INDEX(INDIRECT($B$12),$AU9,BG$2)+$B$10*INDEX(INDIRECT($B$13),$AU9,BG$2))</f>
        <v>0.36270898935941981</v>
      </c>
      <c r="R12" s="139" cm="1">
        <f t="array" aca="1" ref="R12" ca="1">($B$9+$B$10*INDEX(INDIRECT($B$11),$AU9,BH$2))/($B$9*INDEX(INDIRECT($B$12),$AU9,BH$2)+$B$10*INDEX(INDIRECT($B$13),$AU9,BH$2))</f>
        <v>0.36469665363024184</v>
      </c>
      <c r="S12" s="139" cm="1">
        <f t="array" aca="1" ref="S12" ca="1">($B$9+$B$10*INDEX(INDIRECT($B$11),$AU9,BI$2))/($B$9*INDEX(INDIRECT($B$12),$AU9,BI$2)+$B$10*INDEX(INDIRECT($B$13),$AU9,BI$2))</f>
        <v>0.38343763524606084</v>
      </c>
      <c r="T12" s="139" cm="1">
        <f t="array" aca="1" ref="T12" ca="1">($B$9+$B$10*INDEX(INDIRECT($B$11),$AU9,BJ$2))/($B$9*INDEX(INDIRECT($B$12),$AU9,BJ$2)+$B$10*INDEX(INDIRECT($B$13),$AU9,BJ$2))</f>
        <v>0.36643290307261034</v>
      </c>
      <c r="U12" s="139" cm="1">
        <f t="array" aca="1" ref="U12" ca="1">($B$9+$B$10*INDEX(INDIRECT($B$11),$AU9,BK$2))/($B$9*INDEX(INDIRECT($B$12),$AU9,BK$2)+$B$10*INDEX(INDIRECT($B$13),$AU9,BK$2))</f>
        <v>0.36907861341978548</v>
      </c>
      <c r="V12" s="139" cm="1">
        <f t="array" aca="1" ref="V12" ca="1">($B$9+$B$10*INDEX(INDIRECT($B$11),$AU9,BL$2))/($B$9*INDEX(INDIRECT($B$12),$AU9,BL$2)+$B$10*INDEX(INDIRECT($B$13),$AU9,BL$2))</f>
        <v>0.38484416775334374</v>
      </c>
      <c r="W12" s="139" cm="1">
        <f t="array" aca="1" ref="W12" ca="1">($B$9+$B$10*INDEX(INDIRECT($B$11),$AU9,BM$2))/($B$9*INDEX(INDIRECT($B$12),$AU9,BM$2)+$B$10*INDEX(INDIRECT($B$13),$AU9,BM$2))</f>
        <v>0.4133102564162795</v>
      </c>
      <c r="Y12" s="66" t="s">
        <v>92</v>
      </c>
      <c r="Z12" s="35">
        <v>109</v>
      </c>
      <c r="AA12" s="67" t="s">
        <v>20</v>
      </c>
      <c r="AJ12" s="158"/>
      <c r="AK12" s="158"/>
      <c r="AL12" s="158"/>
      <c r="AM12" s="158"/>
      <c r="AN12" s="158"/>
      <c r="AO12" s="158"/>
      <c r="AP12" s="158"/>
      <c r="AQ12" s="158"/>
      <c r="AR12" s="158"/>
      <c r="AS12" s="158"/>
      <c r="AT12" s="158"/>
      <c r="AU12" s="169">
        <v>9</v>
      </c>
      <c r="AV12" s="158"/>
      <c r="AW12" s="158"/>
      <c r="AX12" s="158"/>
      <c r="AY12" s="158"/>
      <c r="AZ12" s="158"/>
      <c r="BA12" s="158"/>
      <c r="BB12" s="158"/>
      <c r="BC12" s="158"/>
      <c r="BD12" s="158"/>
      <c r="BE12" s="158"/>
      <c r="BF12" s="158"/>
      <c r="BG12" s="158"/>
      <c r="BH12" s="158"/>
      <c r="BI12" s="158"/>
      <c r="BJ12" s="158"/>
      <c r="BK12" s="158"/>
      <c r="BL12" s="158"/>
      <c r="BM12" s="158"/>
      <c r="BN12" s="58"/>
    </row>
    <row r="13" spans="1:66" x14ac:dyDescent="0.35">
      <c r="A13" s="129" t="s">
        <v>93</v>
      </c>
      <c r="B13" s="130" t="str">
        <f>IF($B$6="Custom",VLOOKUP($B$5,Code_year_options,4,FALSE),VLOOKUP($B$5&amp;"_Pub",Code_year_options,4,FALSE))</f>
        <v>C_2025_v4</v>
      </c>
      <c r="C13" s="62"/>
      <c r="D13" s="132" t="s">
        <v>67</v>
      </c>
      <c r="E13" s="138" cm="1">
        <f t="array" aca="1" ref="E13" ca="1">($B$9+$B$10*INDEX(INDIRECT($B$11),$AU10,AU$2))/($B$9*INDEX(INDIRECT($B$12),$AU10,AU$2)+$B$10*INDEX(INDIRECT($B$13),$AU10,AU$2))</f>
        <v>0.44523725784672991</v>
      </c>
      <c r="F13" s="138" cm="1">
        <f t="array" aca="1" ref="F13" ca="1">($B$9+$B$10*INDEX(INDIRECT($B$11),$AU10,AV$2))/($B$9*INDEX(INDIRECT($B$12),$AU10,AV$2)+$B$10*INDEX(INDIRECT($B$13),$AU10,AV$2))</f>
        <v>0.4455712531591563</v>
      </c>
      <c r="G13" s="138" cm="1">
        <f t="array" aca="1" ref="G13" ca="1">($B$9+$B$10*INDEX(INDIRECT($B$11),$AU10,AW$2))/($B$9*INDEX(INDIRECT($B$12),$AU10,AW$2)+$B$10*INDEX(INDIRECT($B$13),$AU10,AW$2))</f>
        <v>0.42915471171422626</v>
      </c>
      <c r="H13" s="139" cm="1">
        <f t="array" aca="1" ref="H13" ca="1">($B$9+$B$10*INDEX(INDIRECT($B$11),$AU10,AX$2))/($B$9*INDEX(INDIRECT($B$12),$AU10,AX$2)+$B$10*INDEX(INDIRECT($B$13),$AU10,AX$2))</f>
        <v>0.43886787912269098</v>
      </c>
      <c r="I13" s="139" cm="1">
        <f t="array" aca="1" ref="I13" ca="1">($B$9+$B$10*INDEX(INDIRECT($B$11),$AU10,AY$2))/($B$9*INDEX(INDIRECT($B$12),$AU10,AY$2)+$B$10*INDEX(INDIRECT($B$13),$AU10,AY$2))</f>
        <v>0.40866153559613777</v>
      </c>
      <c r="J13" s="139" cm="1">
        <f t="array" aca="1" ref="J13" ca="1">($B$9+$B$10*INDEX(INDIRECT($B$11),$AU10,AZ$2))/($B$9*INDEX(INDIRECT($B$12),$AU10,AZ$2)+$B$10*INDEX(INDIRECT($B$13),$AU10,AZ$2))</f>
        <v>0.42879015067050413</v>
      </c>
      <c r="K13" s="139" cm="1">
        <f t="array" aca="1" ref="K13" ca="1">($B$9+$B$10*INDEX(INDIRECT($B$11),$AU10,BA$2))/($B$9*INDEX(INDIRECT($B$12),$AU10,BA$2)+$B$10*INDEX(INDIRECT($B$13),$AU10,BA$2))</f>
        <v>0.43018741579573339</v>
      </c>
      <c r="L13" s="139" cm="1">
        <f t="array" aca="1" ref="L13" ca="1">($B$9+$B$10*INDEX(INDIRECT($B$11),$AU10,BB$2))/($B$9*INDEX(INDIRECT($B$12),$AU10,BB$2)+$B$10*INDEX(INDIRECT($B$13),$AU10,BB$2))</f>
        <v>0.39296739188941082</v>
      </c>
      <c r="M13" s="139" cm="1">
        <f t="array" aca="1" ref="M13" ca="1">($B$9+$B$10*INDEX(INDIRECT($B$11),$AU10,BC$2))/($B$9*INDEX(INDIRECT($B$12),$AU10,BC$2)+$B$10*INDEX(INDIRECT($B$13),$AU10,BC$2))</f>
        <v>0.36813430210803877</v>
      </c>
      <c r="N13" s="139" cm="1">
        <f t="array" aca="1" ref="N13" ca="1">($B$9+$B$10*INDEX(INDIRECT($B$11),$AU10,BD$2))/($B$9*INDEX(INDIRECT($B$12),$AU10,BD$2)+$B$10*INDEX(INDIRECT($B$13),$AU10,BD$2))</f>
        <v>0.36567414709121493</v>
      </c>
      <c r="O13" s="139" cm="1">
        <f t="array" aca="1" ref="O13" ca="1">($B$9+$B$10*INDEX(INDIRECT($B$11),$AU10,BE$2))/($B$9*INDEX(INDIRECT($B$12),$AU10,BE$2)+$B$10*INDEX(INDIRECT($B$13),$AU10,BE$2))</f>
        <v>0.37758831689851247</v>
      </c>
      <c r="P13" s="139" cm="1">
        <f t="array" aca="1" ref="P13" ca="1">($B$9+$B$10*INDEX(INDIRECT($B$11),$AU10,BF$2))/($B$9*INDEX(INDIRECT($B$12),$AU10,BF$2)+$B$10*INDEX(INDIRECT($B$13),$AU10,BF$2))</f>
        <v>0.3785488679681735</v>
      </c>
      <c r="Q13" s="139" cm="1">
        <f t="array" aca="1" ref="Q13" ca="1">($B$9+$B$10*INDEX(INDIRECT($B$11),$AU10,BG$2))/($B$9*INDEX(INDIRECT($B$12),$AU10,BG$2)+$B$10*INDEX(INDIRECT($B$13),$AU10,BG$2))</f>
        <v>0.38310772719287145</v>
      </c>
      <c r="R13" s="139" cm="1">
        <f t="array" aca="1" ref="R13" ca="1">($B$9+$B$10*INDEX(INDIRECT($B$11),$AU10,BH$2))/($B$9*INDEX(INDIRECT($B$12),$AU10,BH$2)+$B$10*INDEX(INDIRECT($B$13),$AU10,BH$2))</f>
        <v>0.38149017402225949</v>
      </c>
      <c r="S13" s="139" cm="1">
        <f t="array" aca="1" ref="S13" ca="1">($B$9+$B$10*INDEX(INDIRECT($B$11),$AU10,BI$2))/($B$9*INDEX(INDIRECT($B$12),$AU10,BI$2)+$B$10*INDEX(INDIRECT($B$13),$AU10,BI$2))</f>
        <v>0.37796796372647218</v>
      </c>
      <c r="T13" s="139" cm="1">
        <f t="array" aca="1" ref="T13" ca="1">($B$9+$B$10*INDEX(INDIRECT($B$11),$AU10,BJ$2))/($B$9*INDEX(INDIRECT($B$12),$AU10,BJ$2)+$B$10*INDEX(INDIRECT($B$13),$AU10,BJ$2))</f>
        <v>0.38302175358527574</v>
      </c>
      <c r="U13" s="139" cm="1">
        <f t="array" aca="1" ref="U13" ca="1">($B$9+$B$10*INDEX(INDIRECT($B$11),$AU10,BK$2))/($B$9*INDEX(INDIRECT($B$12),$AU10,BK$2)+$B$10*INDEX(INDIRECT($B$13),$AU10,BK$2))</f>
        <v>0.36853259028579866</v>
      </c>
      <c r="V13" s="139" cm="1">
        <f t="array" aca="1" ref="V13" ca="1">($B$9+$B$10*INDEX(INDIRECT($B$11),$AU10,BL$2))/($B$9*INDEX(INDIRECT($B$12),$AU10,BL$2)+$B$10*INDEX(INDIRECT($B$13),$AU10,BL$2))</f>
        <v>0.38294835590723403</v>
      </c>
      <c r="W13" s="139" cm="1">
        <f t="array" aca="1" ref="W13" ca="1">($B$9+$B$10*INDEX(INDIRECT($B$11),$AU10,BM$2))/($B$9*INDEX(INDIRECT($B$12),$AU10,BM$2)+$B$10*INDEX(INDIRECT($B$13),$AU10,BM$2))</f>
        <v>0.41404060538351872</v>
      </c>
      <c r="Y13" s="62"/>
      <c r="Z13" s="62"/>
      <c r="AA13" s="62"/>
      <c r="AJ13" s="158"/>
      <c r="AK13" s="158"/>
      <c r="AL13" s="158"/>
      <c r="AM13" s="158"/>
      <c r="AN13" s="158"/>
      <c r="AO13" s="158"/>
      <c r="AP13" s="158"/>
      <c r="AQ13" s="158"/>
      <c r="AR13" s="158"/>
      <c r="AS13" s="158"/>
      <c r="AT13" s="158"/>
      <c r="AU13" s="158"/>
      <c r="AV13" s="158"/>
      <c r="AW13" s="158"/>
      <c r="AX13" s="158"/>
      <c r="AY13" s="158"/>
      <c r="AZ13" s="158"/>
      <c r="BA13" s="158"/>
      <c r="BB13" s="158"/>
      <c r="BC13" s="158"/>
      <c r="BD13" s="158"/>
      <c r="BE13" s="158"/>
      <c r="BF13" s="158"/>
      <c r="BG13" s="158"/>
      <c r="BH13" s="158"/>
      <c r="BI13" s="158"/>
      <c r="BJ13" s="158"/>
      <c r="BK13" s="158"/>
      <c r="BL13" s="158"/>
      <c r="BM13" s="158"/>
      <c r="BN13" s="58"/>
    </row>
    <row r="14" spans="1:66" x14ac:dyDescent="0.35">
      <c r="A14" s="62"/>
      <c r="B14" s="62"/>
      <c r="C14" s="62"/>
      <c r="D14" s="132" t="s">
        <v>68</v>
      </c>
      <c r="E14" s="138" cm="1">
        <f t="array" aca="1" ref="E14" ca="1">($B$9+$B$10*INDEX(INDIRECT($B$11),$AU11,AU$2))/($B$9*INDEX(INDIRECT($B$12),$AU11,AU$2)+$B$10*INDEX(INDIRECT($B$13),$AU11,AU$2))</f>
        <v>0.23825437685348269</v>
      </c>
      <c r="F14" s="138" cm="1">
        <f t="array" aca="1" ref="F14" ca="1">($B$9+$B$10*INDEX(INDIRECT($B$11),$AU11,AV$2))/($B$9*INDEX(INDIRECT($B$12),$AU11,AV$2)+$B$10*INDEX(INDIRECT($B$13),$AU11,AV$2))</f>
        <v>0.2539998819223051</v>
      </c>
      <c r="G14" s="138" cm="1">
        <f t="array" aca="1" ref="G14" ca="1">($B$9+$B$10*INDEX(INDIRECT($B$11),$AU11,AW$2))/($B$9*INDEX(INDIRECT($B$12),$AU11,AW$2)+$B$10*INDEX(INDIRECT($B$13),$AU11,AW$2))</f>
        <v>0.21326238582420776</v>
      </c>
      <c r="H14" s="139" cm="1">
        <f t="array" aca="1" ref="H14" ca="1">($B$9+$B$10*INDEX(INDIRECT($B$11),$AU11,AX$2))/($B$9*INDEX(INDIRECT($B$12),$AU11,AX$2)+$B$10*INDEX(INDIRECT($B$13),$AU11,AX$2))</f>
        <v>0.23873250636132287</v>
      </c>
      <c r="I14" s="139" cm="1">
        <f t="array" aca="1" ref="I14" ca="1">($B$9+$B$10*INDEX(INDIRECT($B$11),$AU11,AY$2))/($B$9*INDEX(INDIRECT($B$12),$AU11,AY$2)+$B$10*INDEX(INDIRECT($B$13),$AU11,AY$2))</f>
        <v>0.20128086183446087</v>
      </c>
      <c r="J14" s="139" cm="1">
        <f t="array" aca="1" ref="J14" ca="1">($B$9+$B$10*INDEX(INDIRECT($B$11),$AU11,AZ$2))/($B$9*INDEX(INDIRECT($B$12),$AU11,AZ$2)+$B$10*INDEX(INDIRECT($B$13),$AU11,AZ$2))</f>
        <v>0.21491020692382418</v>
      </c>
      <c r="K14" s="139" cm="1">
        <f t="array" aca="1" ref="K14" ca="1">($B$9+$B$10*INDEX(INDIRECT($B$11),$AU11,BA$2))/($B$9*INDEX(INDIRECT($B$12),$AU11,BA$2)+$B$10*INDEX(INDIRECT($B$13),$AU11,BA$2))</f>
        <v>0.23806337814001577</v>
      </c>
      <c r="L14" s="139" cm="1">
        <f t="array" aca="1" ref="L14" ca="1">($B$9+$B$10*INDEX(INDIRECT($B$11),$AU11,BB$2))/($B$9*INDEX(INDIRECT($B$12),$AU11,BB$2)+$B$10*INDEX(INDIRECT($B$13),$AU11,BB$2))</f>
        <v>0.20517857270476522</v>
      </c>
      <c r="M14" s="139" cm="1">
        <f t="array" aca="1" ref="M14" ca="1">($B$9+$B$10*INDEX(INDIRECT($B$11),$AU11,BC$2))/($B$9*INDEX(INDIRECT($B$12),$AU11,BC$2)+$B$10*INDEX(INDIRECT($B$13),$AU11,BC$2))</f>
        <v>0.17640454191531402</v>
      </c>
      <c r="N14" s="139" cm="1">
        <f t="array" aca="1" ref="N14" ca="1">($B$9+$B$10*INDEX(INDIRECT($B$11),$AU11,BD$2))/($B$9*INDEX(INDIRECT($B$12),$AU11,BD$2)+$B$10*INDEX(INDIRECT($B$13),$AU11,BD$2))</f>
        <v>0.23720822482734863</v>
      </c>
      <c r="O14" s="139" cm="1">
        <f t="array" aca="1" ref="O14" ca="1">($B$9+$B$10*INDEX(INDIRECT($B$11),$AU11,BE$2))/($B$9*INDEX(INDIRECT($B$12),$AU11,BE$2)+$B$10*INDEX(INDIRECT($B$13),$AU11,BE$2))</f>
        <v>0.20810900615137698</v>
      </c>
      <c r="P14" s="139" cm="1">
        <f t="array" aca="1" ref="P14" ca="1">($B$9+$B$10*INDEX(INDIRECT($B$11),$AU11,BF$2))/($B$9*INDEX(INDIRECT($B$12),$AU11,BF$2)+$B$10*INDEX(INDIRECT($B$13),$AU11,BF$2))</f>
        <v>0.21406272591355457</v>
      </c>
      <c r="Q14" s="139" cm="1">
        <f t="array" aca="1" ref="Q14" ca="1">($B$9+$B$10*INDEX(INDIRECT($B$11),$AU11,BG$2))/($B$9*INDEX(INDIRECT($B$12),$AU11,BG$2)+$B$10*INDEX(INDIRECT($B$13),$AU11,BG$2))</f>
        <v>0.27680321724332735</v>
      </c>
      <c r="R14" s="139" cm="1">
        <f t="array" aca="1" ref="R14" ca="1">($B$9+$B$10*INDEX(INDIRECT($B$11),$AU11,BH$2))/($B$9*INDEX(INDIRECT($B$12),$AU11,BH$2)+$B$10*INDEX(INDIRECT($B$13),$AU11,BH$2))</f>
        <v>0.23745752937763426</v>
      </c>
      <c r="S14" s="139" cm="1">
        <f t="array" aca="1" ref="S14" ca="1">($B$9+$B$10*INDEX(INDIRECT($B$11),$AU11,BI$2))/($B$9*INDEX(INDIRECT($B$12),$AU11,BI$2)+$B$10*INDEX(INDIRECT($B$13),$AU11,BI$2))</f>
        <v>0.21521675366397749</v>
      </c>
      <c r="T14" s="139" cm="1">
        <f t="array" aca="1" ref="T14" ca="1">($B$9+$B$10*INDEX(INDIRECT($B$11),$AU11,BJ$2))/($B$9*INDEX(INDIRECT($B$12),$AU11,BJ$2)+$B$10*INDEX(INDIRECT($B$13),$AU11,BJ$2))</f>
        <v>0.31227811972937791</v>
      </c>
      <c r="U14" s="139" cm="1">
        <f t="array" aca="1" ref="U14" ca="1">($B$9+$B$10*INDEX(INDIRECT($B$11),$AU11,BK$2))/($B$9*INDEX(INDIRECT($B$12),$AU11,BK$2)+$B$10*INDEX(INDIRECT($B$13),$AU11,BK$2))</f>
        <v>0.27668493751884876</v>
      </c>
      <c r="V14" s="139" cm="1">
        <f t="array" aca="1" ref="V14" ca="1">($B$9+$B$10*INDEX(INDIRECT($B$11),$AU11,BL$2))/($B$9*INDEX(INDIRECT($B$12),$AU11,BL$2)+$B$10*INDEX(INDIRECT($B$13),$AU11,BL$2))</f>
        <v>0.28960398883575855</v>
      </c>
      <c r="W14" s="139" cm="1">
        <f t="array" aca="1" ref="W14" ca="1">($B$9+$B$10*INDEX(INDIRECT($B$11),$AU11,BM$2))/($B$9*INDEX(INDIRECT($B$12),$AU11,BM$2)+$B$10*INDEX(INDIRECT($B$13),$AU11,BM$2))</f>
        <v>0.32446066303680599</v>
      </c>
      <c r="Y14" s="62"/>
      <c r="Z14" s="62"/>
      <c r="AA14" s="62"/>
      <c r="AI14" s="170" t="s">
        <v>0</v>
      </c>
      <c r="AJ14" s="158"/>
      <c r="AK14" s="158"/>
      <c r="AL14" s="158"/>
      <c r="AM14" s="158"/>
      <c r="AN14" s="158"/>
      <c r="AO14" s="158"/>
      <c r="AP14" s="158"/>
      <c r="AQ14" s="158"/>
      <c r="AR14" s="158"/>
      <c r="AS14" s="158"/>
      <c r="AT14" s="158"/>
      <c r="AU14" s="158"/>
      <c r="AV14" s="158"/>
      <c r="AW14" s="158"/>
      <c r="AX14" s="158"/>
      <c r="AY14" s="158"/>
      <c r="AZ14" s="158"/>
      <c r="BA14" s="158"/>
      <c r="BB14" s="158"/>
      <c r="BC14" s="158"/>
      <c r="BD14" s="158"/>
      <c r="BE14" s="158"/>
      <c r="BF14" s="158"/>
      <c r="BG14" s="158"/>
      <c r="BH14" s="158"/>
      <c r="BI14" s="158"/>
      <c r="BJ14" s="158"/>
      <c r="BK14" s="158"/>
      <c r="BL14" s="158"/>
      <c r="BM14" s="158"/>
      <c r="BN14" s="58"/>
    </row>
    <row r="15" spans="1:66" ht="18.75" customHeight="1" x14ac:dyDescent="0.35">
      <c r="A15" s="62"/>
      <c r="B15" s="62"/>
      <c r="C15" s="62"/>
      <c r="D15" s="133" t="s">
        <v>69</v>
      </c>
      <c r="E15" s="141" cm="1">
        <f t="array" aca="1" ref="E15" ca="1">($B$9+$B$10*INDEX(INDIRECT($B$11),$AU12,AU$2))/($B$9*INDEX(INDIRECT($B$12),$AU12,AU$2)+$B$10*INDEX(INDIRECT($B$13),$AU12,AU$2))</f>
        <v>0.52679571768421352</v>
      </c>
      <c r="F15" s="141" cm="1">
        <f t="array" aca="1" ref="F15" ca="1">($B$9+$B$10*INDEX(INDIRECT($B$11),$AU12,AV$2))/($B$9*INDEX(INDIRECT($B$12),$AU12,AV$2)+$B$10*INDEX(INDIRECT($B$13),$AU12,AV$2))</f>
        <v>0.51009949818435429</v>
      </c>
      <c r="G15" s="141" cm="1">
        <f t="array" aca="1" ref="G15" ca="1">($B$9+$B$10*INDEX(INDIRECT($B$11),$AU12,AW$2))/($B$9*INDEX(INDIRECT($B$12),$AU12,AW$2)+$B$10*INDEX(INDIRECT($B$13),$AU12,AW$2))</f>
        <v>0.50096120799825139</v>
      </c>
      <c r="H15" s="142" cm="1">
        <f t="array" aca="1" ref="H15" ca="1">($B$9+$B$10*INDEX(INDIRECT($B$11),$AU12,AX$2))/($B$9*INDEX(INDIRECT($B$12),$AU12,AX$2)+$B$10*INDEX(INDIRECT($B$13),$AU12,AX$2))</f>
        <v>0.50666308804899607</v>
      </c>
      <c r="I15" s="142" cm="1">
        <f t="array" aca="1" ref="I15" ca="1">($B$9+$B$10*INDEX(INDIRECT($B$11),$AU12,AY$2))/($B$9*INDEX(INDIRECT($B$12),$AU12,AY$2)+$B$10*INDEX(INDIRECT($B$13),$AU12,AY$2))</f>
        <v>0.43812162808073662</v>
      </c>
      <c r="J15" s="142" cm="1">
        <f t="array" aca="1" ref="J15" ca="1">($B$9+$B$10*INDEX(INDIRECT($B$11),$AU12,AZ$2))/($B$9*INDEX(INDIRECT($B$12),$AU12,AZ$2)+$B$10*INDEX(INDIRECT($B$13),$AU12,AZ$2))</f>
        <v>0.42179655541065136</v>
      </c>
      <c r="K15" s="142" cm="1">
        <f t="array" aca="1" ref="K15" ca="1">($B$9+$B$10*INDEX(INDIRECT($B$11),$AU12,BA$2))/($B$9*INDEX(INDIRECT($B$12),$AU12,BA$2)+$B$10*INDEX(INDIRECT($B$13),$AU12,BA$2))</f>
        <v>0.43039146687630431</v>
      </c>
      <c r="L15" s="142" cm="1">
        <f t="array" aca="1" ref="L15" ca="1">($B$9+$B$10*INDEX(INDIRECT($B$11),$AU12,BB$2))/($B$9*INDEX(INDIRECT($B$12),$AU12,BB$2)+$B$10*INDEX(INDIRECT($B$13),$AU12,BB$2))</f>
        <v>0.42108994726608806</v>
      </c>
      <c r="M15" s="142" cm="1">
        <f t="array" aca="1" ref="M15" ca="1">($B$9+$B$10*INDEX(INDIRECT($B$11),$AU12,BC$2))/($B$9*INDEX(INDIRECT($B$12),$AU12,BC$2)+$B$10*INDEX(INDIRECT($B$13),$AU12,BC$2))</f>
        <v>0.41751165310082639</v>
      </c>
      <c r="N15" s="142" cm="1">
        <f t="array" aca="1" ref="N15" ca="1">($B$9+$B$10*INDEX(INDIRECT($B$11),$AU12,BD$2))/($B$9*INDEX(INDIRECT($B$12),$AU12,BD$2)+$B$10*INDEX(INDIRECT($B$13),$AU12,BD$2))</f>
        <v>0.43398152924405603</v>
      </c>
      <c r="O15" s="142" cm="1">
        <f t="array" aca="1" ref="O15" ca="1">($B$9+$B$10*INDEX(INDIRECT($B$11),$AU12,BE$2))/($B$9*INDEX(INDIRECT($B$12),$AU12,BE$2)+$B$10*INDEX(INDIRECT($B$13),$AU12,BE$2))</f>
        <v>0.4187830909972492</v>
      </c>
      <c r="P15" s="142" cm="1">
        <f t="array" aca="1" ref="P15" ca="1">($B$9+$B$10*INDEX(INDIRECT($B$11),$AU12,BF$2))/($B$9*INDEX(INDIRECT($B$12),$AU12,BF$2)+$B$10*INDEX(INDIRECT($B$13),$AU12,BF$2))</f>
        <v>0.44382739771951568</v>
      </c>
      <c r="Q15" s="142" cm="1">
        <f t="array" aca="1" ref="Q15" ca="1">($B$9+$B$10*INDEX(INDIRECT($B$11),$AU12,BG$2))/($B$9*INDEX(INDIRECT($B$12),$AU12,BG$2)+$B$10*INDEX(INDIRECT($B$13),$AU12,BG$2))</f>
        <v>0.43580476277872376</v>
      </c>
      <c r="R15" s="142" cm="1">
        <f t="array" aca="1" ref="R15" ca="1">($B$9+$B$10*INDEX(INDIRECT($B$11),$AU12,BH$2))/($B$9*INDEX(INDIRECT($B$12),$AU12,BH$2)+$B$10*INDEX(INDIRECT($B$13),$AU12,BH$2))</f>
        <v>0.42950513177434507</v>
      </c>
      <c r="S15" s="142" cm="1">
        <f t="array" aca="1" ref="S15" ca="1">($B$9+$B$10*INDEX(INDIRECT($B$11),$AU12,BI$2))/($B$9*INDEX(INDIRECT($B$12),$AU12,BI$2)+$B$10*INDEX(INDIRECT($B$13),$AU12,BI$2))</f>
        <v>0.44784044950377427</v>
      </c>
      <c r="T15" s="142" cm="1">
        <f t="array" aca="1" ref="T15" ca="1">($B$9+$B$10*INDEX(INDIRECT($B$11),$AU12,BJ$2))/($B$9*INDEX(INDIRECT($B$12),$AU12,BJ$2)+$B$10*INDEX(INDIRECT($B$13),$AU12,BJ$2))</f>
        <v>0.44251939506015386</v>
      </c>
      <c r="U15" s="142" cm="1">
        <f t="array" aca="1" ref="U15" ca="1">($B$9+$B$10*INDEX(INDIRECT($B$11),$AU12,BK$2))/($B$9*INDEX(INDIRECT($B$12),$AU12,BK$2)+$B$10*INDEX(INDIRECT($B$13),$AU12,BK$2))</f>
        <v>0.43837045802730695</v>
      </c>
      <c r="V15" s="142" cm="1">
        <f t="array" aca="1" ref="V15" ca="1">($B$9+$B$10*INDEX(INDIRECT($B$11),$AU12,BL$2))/($B$9*INDEX(INDIRECT($B$12),$AU12,BL$2)+$B$10*INDEX(INDIRECT($B$13),$AU12,BL$2))</f>
        <v>0.44862333156092649</v>
      </c>
      <c r="W15" s="142" cm="1">
        <f t="array" aca="1" ref="W15" ca="1">($B$9+$B$10*INDEX(INDIRECT($B$11),$AU12,BM$2))/($B$9*INDEX(INDIRECT($B$12),$AU12,BM$2)+$B$10*INDEX(INDIRECT($B$13),$AU12,BM$2))</f>
        <v>0.46924456456973179</v>
      </c>
      <c r="Y15" s="62"/>
      <c r="Z15" s="62"/>
      <c r="AA15" s="62"/>
    </row>
    <row r="16" spans="1:66" x14ac:dyDescent="0.35">
      <c r="A16" s="62"/>
      <c r="B16" s="62"/>
      <c r="C16" s="62"/>
      <c r="D16" s="62"/>
      <c r="E16" s="69" t="s">
        <v>0</v>
      </c>
      <c r="F16" s="62"/>
      <c r="G16" s="62"/>
      <c r="H16" s="70"/>
      <c r="I16" s="70"/>
      <c r="J16" s="70"/>
      <c r="K16" s="70"/>
      <c r="L16" s="70"/>
      <c r="M16" s="70"/>
      <c r="N16" s="70"/>
      <c r="O16" s="70"/>
      <c r="P16" s="70"/>
      <c r="Q16" s="70"/>
      <c r="R16" s="70"/>
      <c r="S16" s="70"/>
      <c r="T16" s="70"/>
      <c r="U16" s="70"/>
      <c r="V16" s="70"/>
      <c r="W16" s="70"/>
      <c r="Y16" s="62"/>
      <c r="Z16" s="62"/>
      <c r="AA16" s="62"/>
    </row>
    <row r="17" spans="1:67" x14ac:dyDescent="0.35">
      <c r="A17" s="61" t="s">
        <v>4</v>
      </c>
      <c r="B17" s="61" t="s">
        <v>7</v>
      </c>
      <c r="C17" s="62"/>
      <c r="D17" s="71" t="str">
        <f>"BPF_"&amp;B19</f>
        <v>BPF_Cost</v>
      </c>
      <c r="E17" s="72" t="s">
        <v>94</v>
      </c>
      <c r="F17" s="72"/>
      <c r="G17" s="72"/>
      <c r="H17" s="73"/>
      <c r="I17" s="73"/>
      <c r="J17" s="73"/>
      <c r="K17" s="73"/>
      <c r="L17" s="73"/>
      <c r="M17" s="73"/>
      <c r="N17" s="73"/>
      <c r="O17" s="73"/>
      <c r="P17" s="73"/>
      <c r="Q17" s="73"/>
      <c r="R17" s="73"/>
      <c r="S17" s="73"/>
      <c r="T17" s="73"/>
      <c r="U17" s="73"/>
      <c r="V17" s="73"/>
      <c r="W17" s="73"/>
      <c r="Y17" s="62"/>
      <c r="Z17" s="62"/>
      <c r="AA17" s="62"/>
    </row>
    <row r="18" spans="1:67" x14ac:dyDescent="0.35">
      <c r="A18" s="61" t="s">
        <v>82</v>
      </c>
      <c r="B18" s="74" t="s">
        <v>97</v>
      </c>
      <c r="C18" s="62"/>
      <c r="D18" s="63"/>
      <c r="E18" s="64" t="s">
        <v>39</v>
      </c>
      <c r="F18" s="64" t="s">
        <v>40</v>
      </c>
      <c r="G18" s="64" t="s">
        <v>41</v>
      </c>
      <c r="H18" s="65" t="s">
        <v>42</v>
      </c>
      <c r="I18" s="65" t="s">
        <v>43</v>
      </c>
      <c r="J18" s="65" t="s">
        <v>44</v>
      </c>
      <c r="K18" s="65" t="s">
        <v>45</v>
      </c>
      <c r="L18" s="65" t="s">
        <v>46</v>
      </c>
      <c r="M18" s="65" t="s">
        <v>47</v>
      </c>
      <c r="N18" s="65" t="s">
        <v>48</v>
      </c>
      <c r="O18" s="65" t="s">
        <v>49</v>
      </c>
      <c r="P18" s="65" t="s">
        <v>50</v>
      </c>
      <c r="Q18" s="65" t="s">
        <v>51</v>
      </c>
      <c r="R18" s="65" t="s">
        <v>52</v>
      </c>
      <c r="S18" s="65" t="s">
        <v>53</v>
      </c>
      <c r="T18" s="65" t="s">
        <v>54</v>
      </c>
      <c r="U18" s="65" t="s">
        <v>55</v>
      </c>
      <c r="V18" s="65" t="s">
        <v>56</v>
      </c>
      <c r="W18" s="65" t="s">
        <v>57</v>
      </c>
      <c r="Y18" s="240" t="s">
        <v>102</v>
      </c>
      <c r="Z18" s="241"/>
      <c r="AA18" s="242"/>
    </row>
    <row r="19" spans="1:67" x14ac:dyDescent="0.35">
      <c r="A19" s="61" t="s">
        <v>83</v>
      </c>
      <c r="B19" s="74" t="s">
        <v>31</v>
      </c>
      <c r="C19" s="62"/>
      <c r="D19" s="134" t="s">
        <v>58</v>
      </c>
      <c r="E19" s="135" cm="1">
        <f t="array" aca="1" ref="E19:E27" ca="1">($B$21+$B$22*INDEX(INDIRECT($B$23),$AU16,AU$2))/($B$21*INDEX(INDIRECT($B$24),$AU16,AU$2)+$B$22*INDEX(INDIRECT($B$25),$AU16,AU$2))</f>
        <v>0.60829920930728798</v>
      </c>
      <c r="F19" s="135" cm="1">
        <f t="array" aca="1" ref="F19:F27" ca="1">($B$21+$B$22*INDEX(INDIRECT($B$23),$AU16,AV$2))/($B$21*INDEX(INDIRECT($B$24),$AU16,AV$2)+$B$22*INDEX(INDIRECT($B$25),$AU16,AV$2))</f>
        <v>0.56742919710796647</v>
      </c>
      <c r="G19" s="135" cm="1">
        <f t="array" aca="1" ref="G19:G27" ca="1">($B$21+$B$22*INDEX(INDIRECT($B$23),$AU16,AW$2))/($B$21*INDEX(INDIRECT($B$24),$AU16,AW$2)+$B$22*INDEX(INDIRECT($B$25),$AU16,AW$2))</f>
        <v>0.59831588934666091</v>
      </c>
      <c r="H19" s="136" cm="1">
        <f t="array" aca="1" ref="H19:H27" ca="1">($B$21+$B$22*INDEX(INDIRECT($B$23),$AU16,AX$2))/($B$21*INDEX(INDIRECT($B$24),$AU16,AX$2)+$B$22*INDEX(INDIRECT($B$25),$AU16,AX$2))</f>
        <v>0.57392324596831334</v>
      </c>
      <c r="I19" s="136" cm="1">
        <f t="array" aca="1" ref="I19:I27" ca="1">($B$21+$B$22*INDEX(INDIRECT($B$23),$AU16,AY$2))/($B$21*INDEX(INDIRECT($B$24),$AU16,AY$2)+$B$22*INDEX(INDIRECT($B$25),$AU16,AY$2))</f>
        <v>0.59220905682720204</v>
      </c>
      <c r="J19" s="136" cm="1">
        <f t="array" aca="1" ref="J19:J27" ca="1">($B$21+$B$22*INDEX(INDIRECT($B$23),$AU16,AZ$2))/($B$21*INDEX(INDIRECT($B$24),$AU16,AZ$2)+$B$22*INDEX(INDIRECT($B$25),$AU16,AZ$2))</f>
        <v>0.56924126857450208</v>
      </c>
      <c r="K19" s="136" cm="1">
        <f t="array" aca="1" ref="K19:K27" ca="1">($B$21+$B$22*INDEX(INDIRECT($B$23),$AU16,BA$2))/($B$21*INDEX(INDIRECT($B$24),$AU16,BA$2)+$B$22*INDEX(INDIRECT($B$25),$AU16,BA$2))</f>
        <v>0.57885816773740728</v>
      </c>
      <c r="L19" s="136" cm="1">
        <f t="array" aca="1" ref="L19:L27" ca="1">($B$21+$B$22*INDEX(INDIRECT($B$23),$AU16,BB$2))/($B$21*INDEX(INDIRECT($B$24),$AU16,BB$2)+$B$22*INDEX(INDIRECT($B$25),$AU16,BB$2))</f>
        <v>0.57884696962487658</v>
      </c>
      <c r="M19" s="136" cm="1">
        <f t="array" aca="1" ref="M19:M27" ca="1">($B$21+$B$22*INDEX(INDIRECT($B$23),$AU16,BC$2))/($B$21*INDEX(INDIRECT($B$24),$AU16,BC$2)+$B$22*INDEX(INDIRECT($B$25),$AU16,BC$2))</f>
        <v>0.46087580704309639</v>
      </c>
      <c r="N19" s="136" cm="1">
        <f t="array" aca="1" ref="N19:N27" ca="1">($B$21+$B$22*INDEX(INDIRECT($B$23),$AU16,BD$2))/($B$21*INDEX(INDIRECT($B$24),$AU16,BD$2)+$B$22*INDEX(INDIRECT($B$25),$AU16,BD$2))</f>
        <v>0.55311444948705202</v>
      </c>
      <c r="O19" s="136" cm="1">
        <f t="array" aca="1" ref="O19:O27" ca="1">($B$21+$B$22*INDEX(INDIRECT($B$23),$AU16,BE$2))/($B$21*INDEX(INDIRECT($B$24),$AU16,BE$2)+$B$22*INDEX(INDIRECT($B$25),$AU16,BE$2))</f>
        <v>0.57347654459683184</v>
      </c>
      <c r="P19" s="136" cm="1">
        <f t="array" aca="1" ref="P19:P27" ca="1">($B$21+$B$22*INDEX(INDIRECT($B$23),$AU16,BF$2))/($B$21*INDEX(INDIRECT($B$24),$AU16,BF$2)+$B$22*INDEX(INDIRECT($B$25),$AU16,BF$2))</f>
        <v>0.55350033822013867</v>
      </c>
      <c r="Q19" s="136" cm="1">
        <f t="array" aca="1" ref="Q19:Q27" ca="1">($B$21+$B$22*INDEX(INDIRECT($B$23),$AU16,BG$2))/($B$21*INDEX(INDIRECT($B$24),$AU16,BG$2)+$B$22*INDEX(INDIRECT($B$25),$AU16,BG$2))</f>
        <v>0.54236301272160325</v>
      </c>
      <c r="R19" s="136" cm="1">
        <f t="array" aca="1" ref="R19:R27" ca="1">($B$21+$B$22*INDEX(INDIRECT($B$23),$AU16,BH$2))/($B$21*INDEX(INDIRECT($B$24),$AU16,BH$2)+$B$22*INDEX(INDIRECT($B$25),$AU16,BH$2))</f>
        <v>0.55860360742907278</v>
      </c>
      <c r="S19" s="136" cm="1">
        <f t="array" aca="1" ref="S19:S27" ca="1">($B$21+$B$22*INDEX(INDIRECT($B$23),$AU16,BI$2))/($B$21*INDEX(INDIRECT($B$24),$AU16,BI$2)+$B$22*INDEX(INDIRECT($B$25),$AU16,BI$2))</f>
        <v>0.56821624999364329</v>
      </c>
      <c r="T19" s="136" cm="1">
        <f t="array" aca="1" ref="T19:T27" ca="1">($B$21+$B$22*INDEX(INDIRECT($B$23),$AU16,BJ$2))/($B$21*INDEX(INDIRECT($B$24),$AU16,BJ$2)+$B$22*INDEX(INDIRECT($B$25),$AU16,BJ$2))</f>
        <v>0.52650770498628696</v>
      </c>
      <c r="U19" s="136" cm="1">
        <f t="array" aca="1" ref="U19:U27" ca="1">($B$21+$B$22*INDEX(INDIRECT($B$23),$AU16,BK$2))/($B$21*INDEX(INDIRECT($B$24),$AU16,BK$2)+$B$22*INDEX(INDIRECT($B$25),$AU16,BK$2))</f>
        <v>0.53478597102946168</v>
      </c>
      <c r="V19" s="136" cm="1">
        <f t="array" aca="1" ref="V19:V27" ca="1">($B$21+$B$22*INDEX(INDIRECT($B$23),$AU16,BL$2))/($B$21*INDEX(INDIRECT($B$24),$AU16,BL$2)+$B$22*INDEX(INDIRECT($B$25),$AU16,BL$2))</f>
        <v>0.5381450853417844</v>
      </c>
      <c r="W19" s="136" cm="1">
        <f t="array" aca="1" ref="W19:W27" ca="1">($B$21+$B$22*INDEX(INDIRECT($B$23),$AU16,BM$2))/($B$21*INDEX(INDIRECT($B$24),$AU16,BM$2)+$B$22*INDEX(INDIRECT($B$25),$AU16,BM$2))</f>
        <v>0.59497422090768148</v>
      </c>
      <c r="Y19" s="66" t="s">
        <v>84</v>
      </c>
      <c r="Z19" s="34">
        <v>0.11219999999999999</v>
      </c>
      <c r="AA19" s="67" t="s">
        <v>9</v>
      </c>
    </row>
    <row r="20" spans="1:67" x14ac:dyDescent="0.35">
      <c r="A20" s="239" t="s">
        <v>85</v>
      </c>
      <c r="B20" s="239"/>
      <c r="C20" s="62"/>
      <c r="D20" s="137" t="s">
        <v>62</v>
      </c>
      <c r="E20" s="138">
        <f ca="1"/>
        <v>0.59823131223127457</v>
      </c>
      <c r="F20" s="138">
        <f ca="1"/>
        <v>0.58599556516205464</v>
      </c>
      <c r="G20" s="138">
        <f ca="1"/>
        <v>0.58811311017958934</v>
      </c>
      <c r="H20" s="139">
        <f ca="1"/>
        <v>0.59528381107047057</v>
      </c>
      <c r="I20" s="139">
        <f ca="1"/>
        <v>0.59943025275166018</v>
      </c>
      <c r="J20" s="139">
        <f ca="1"/>
        <v>0.59739989571864371</v>
      </c>
      <c r="K20" s="139">
        <f ca="1"/>
        <v>0.58155955307944673</v>
      </c>
      <c r="L20" s="139">
        <f ca="1"/>
        <v>0.58667270924489356</v>
      </c>
      <c r="M20" s="139">
        <f ca="1"/>
        <v>0.55569480838328156</v>
      </c>
      <c r="N20" s="139">
        <f ca="1"/>
        <v>0.55993221577936925</v>
      </c>
      <c r="O20" s="139">
        <f ca="1"/>
        <v>0.57468027531468557</v>
      </c>
      <c r="P20" s="139">
        <f ca="1"/>
        <v>0.57715100307926104</v>
      </c>
      <c r="Q20" s="139">
        <f ca="1"/>
        <v>0.57962858466602452</v>
      </c>
      <c r="R20" s="139">
        <f ca="1"/>
        <v>0.56699796760563115</v>
      </c>
      <c r="S20" s="139">
        <f ca="1"/>
        <v>0.53344007908835289</v>
      </c>
      <c r="T20" s="139">
        <f ca="1"/>
        <v>0.57192613022899941</v>
      </c>
      <c r="U20" s="139">
        <f ca="1"/>
        <v>0.54622821060152571</v>
      </c>
      <c r="V20" s="139">
        <f ca="1"/>
        <v>0.55321329187776291</v>
      </c>
      <c r="W20" s="139">
        <f ca="1"/>
        <v>0.57092065183322427</v>
      </c>
      <c r="Y20" s="66" t="s">
        <v>86</v>
      </c>
      <c r="Z20" s="34">
        <v>0.83799999999999997</v>
      </c>
      <c r="AA20" s="67" t="s">
        <v>11</v>
      </c>
    </row>
    <row r="21" spans="1:67" x14ac:dyDescent="0.35">
      <c r="A21" s="124" t="s">
        <v>87</v>
      </c>
      <c r="B21" s="125" cm="1">
        <f t="array" ref="B21">IF($B$18="Custom",(INDEX($AJ$1:$AR$12,3,MATCH("Elec_"&amp;$B$19,$AK$1:$AR$1,0)+1)),(INDEX($AJ$1:$AR$12,MATCH($B$17,$AJ$4:$AJ$12)+3,MATCH("Elec_"&amp;$B$19,$AK$1:$AR$1,0)+1)))/3.412</f>
        <v>3.2883939038686985E-2</v>
      </c>
      <c r="C21" s="62"/>
      <c r="D21" s="137" t="s">
        <v>63</v>
      </c>
      <c r="E21" s="138">
        <f ca="1"/>
        <v>0.58032707667227246</v>
      </c>
      <c r="F21" s="138">
        <f ca="1"/>
        <v>0.56469333403306909</v>
      </c>
      <c r="G21" s="138">
        <f ca="1"/>
        <v>0.57489293890830517</v>
      </c>
      <c r="H21" s="139">
        <f ca="1"/>
        <v>0.55829362059242049</v>
      </c>
      <c r="I21" s="139">
        <f ca="1"/>
        <v>0.55422371949686688</v>
      </c>
      <c r="J21" s="139">
        <f ca="1"/>
        <v>0.53513250694599757</v>
      </c>
      <c r="K21" s="139">
        <f ca="1"/>
        <v>0.53911963299110655</v>
      </c>
      <c r="L21" s="139">
        <f ca="1"/>
        <v>0.54386203281357692</v>
      </c>
      <c r="M21" s="139">
        <f ca="1"/>
        <v>0.52639211772231376</v>
      </c>
      <c r="N21" s="139">
        <f ca="1"/>
        <v>0.53093876818628272</v>
      </c>
      <c r="O21" s="139">
        <f ca="1"/>
        <v>0.52942026916584028</v>
      </c>
      <c r="P21" s="139">
        <f ca="1"/>
        <v>0.52224373197462703</v>
      </c>
      <c r="Q21" s="139">
        <f ca="1"/>
        <v>0.52721944886266503</v>
      </c>
      <c r="R21" s="139">
        <f ca="1"/>
        <v>0.52794894586180252</v>
      </c>
      <c r="S21" s="139">
        <f ca="1"/>
        <v>0.52844687355385656</v>
      </c>
      <c r="T21" s="139">
        <f ca="1"/>
        <v>0.52500314544756044</v>
      </c>
      <c r="U21" s="139">
        <f ca="1"/>
        <v>0.52946870603441964</v>
      </c>
      <c r="V21" s="139">
        <f ca="1"/>
        <v>0.52419770342786798</v>
      </c>
      <c r="W21" s="139">
        <f ca="1"/>
        <v>0.52731946744551483</v>
      </c>
      <c r="Y21" s="66" t="s">
        <v>109</v>
      </c>
      <c r="Z21" s="35">
        <v>0.47099999999999997</v>
      </c>
      <c r="AA21" s="67" t="s">
        <v>13</v>
      </c>
    </row>
    <row r="22" spans="1:67" x14ac:dyDescent="0.35">
      <c r="A22" s="126" t="s">
        <v>88</v>
      </c>
      <c r="B22" s="127" cm="1">
        <f t="array" ref="B22">IF($B$18="Custom",(INDEX($AJ$1:$AR$12,3,MATCH("Gas_"&amp;$B$19,$AK$1:$AR$1,0)+1)),(INDEX($AJ$1:$AR$12,MATCH($B$17,$AJ$4:$AJ$12)+3,MATCH("Gas_"&amp;$B$19,$AK$1:$AR$1,0)+1)))/100</f>
        <v>8.3800000000000003E-3</v>
      </c>
      <c r="C22" s="62"/>
      <c r="D22" s="137" t="s">
        <v>64</v>
      </c>
      <c r="E22" s="138">
        <f ca="1"/>
        <v>0.42809668008915525</v>
      </c>
      <c r="F22" s="138">
        <f ca="1"/>
        <v>0.41775894685786108</v>
      </c>
      <c r="G22" s="138">
        <f ca="1"/>
        <v>0.40318724517391441</v>
      </c>
      <c r="H22" s="139">
        <f ca="1"/>
        <v>0.40588781698686055</v>
      </c>
      <c r="I22" s="139">
        <f ca="1"/>
        <v>0.36917358843813936</v>
      </c>
      <c r="J22" s="139">
        <f ca="1"/>
        <v>0.3878098303472724</v>
      </c>
      <c r="K22" s="139">
        <f ca="1"/>
        <v>0.36818607367507689</v>
      </c>
      <c r="L22" s="139">
        <f ca="1"/>
        <v>0.38306839526299985</v>
      </c>
      <c r="M22" s="139">
        <f ca="1"/>
        <v>0.34977757821666761</v>
      </c>
      <c r="N22" s="139">
        <f ca="1"/>
        <v>0.35116608820729617</v>
      </c>
      <c r="O22" s="139">
        <f ca="1"/>
        <v>0.36692133116931719</v>
      </c>
      <c r="P22" s="139">
        <f ca="1"/>
        <v>0.36153482460975733</v>
      </c>
      <c r="Q22" s="139">
        <f ca="1"/>
        <v>0.36543601678891946</v>
      </c>
      <c r="R22" s="139">
        <f ca="1"/>
        <v>0.36699156849269249</v>
      </c>
      <c r="S22" s="139">
        <f ca="1"/>
        <v>0.36634622259422139</v>
      </c>
      <c r="T22" s="139">
        <f ca="1"/>
        <v>0.37639901144137411</v>
      </c>
      <c r="U22" s="139">
        <f ca="1"/>
        <v>0.36437393464557455</v>
      </c>
      <c r="V22" s="139">
        <f ca="1"/>
        <v>0.36060942774757171</v>
      </c>
      <c r="W22" s="139">
        <f ca="1"/>
        <v>0.387309726522098</v>
      </c>
      <c r="Y22" s="66" t="s">
        <v>110</v>
      </c>
      <c r="Z22" s="35">
        <v>14.7</v>
      </c>
      <c r="AA22" s="67" t="s">
        <v>15</v>
      </c>
    </row>
    <row r="23" spans="1:67" x14ac:dyDescent="0.35">
      <c r="A23" s="126" t="s">
        <v>89</v>
      </c>
      <c r="B23" s="128" t="str">
        <f>IF($B$18="Custom",VLOOKUP($B$17,Code_year_options,2,FALSE),VLOOKUP($B$17&amp;"_Pub",Code_year_options,2,FALSE))</f>
        <v>A_2025_v4</v>
      </c>
      <c r="C23" s="62"/>
      <c r="D23" s="137" t="s">
        <v>65</v>
      </c>
      <c r="E23" s="138">
        <f ca="1"/>
        <v>0.57392478274940606</v>
      </c>
      <c r="F23" s="138">
        <f ca="1"/>
        <v>0.55238166125897936</v>
      </c>
      <c r="G23" s="138">
        <f ca="1"/>
        <v>0.557586367242773</v>
      </c>
      <c r="H23" s="139">
        <f ca="1"/>
        <v>0.55007759820215485</v>
      </c>
      <c r="I23" s="139">
        <f ca="1"/>
        <v>0.54991211971059017</v>
      </c>
      <c r="J23" s="139">
        <f ca="1"/>
        <v>0.54668820028460297</v>
      </c>
      <c r="K23" s="139">
        <f ca="1"/>
        <v>0.58345542832032016</v>
      </c>
      <c r="L23" s="139">
        <f ca="1"/>
        <v>0.5560934534076033</v>
      </c>
      <c r="M23" s="139">
        <f ca="1"/>
        <v>0.54415741292005371</v>
      </c>
      <c r="N23" s="139">
        <f ca="1"/>
        <v>0.58998048471549613</v>
      </c>
      <c r="O23" s="139">
        <f ca="1"/>
        <v>0.56965505729482191</v>
      </c>
      <c r="P23" s="139">
        <f ca="1"/>
        <v>0.59526838315985264</v>
      </c>
      <c r="Q23" s="139">
        <f ca="1"/>
        <v>0.62101775050116714</v>
      </c>
      <c r="R23" s="139">
        <f ca="1"/>
        <v>0.59073591302723816</v>
      </c>
      <c r="S23" s="139">
        <f ca="1"/>
        <v>0.60909249690802358</v>
      </c>
      <c r="T23" s="139">
        <f ca="1"/>
        <v>0.62839201506534526</v>
      </c>
      <c r="U23" s="139">
        <f ca="1"/>
        <v>0.60728611313160652</v>
      </c>
      <c r="V23" s="139">
        <f ca="1"/>
        <v>0.63906700526239346</v>
      </c>
      <c r="W23" s="139">
        <f ca="1"/>
        <v>0.67014054858692729</v>
      </c>
      <c r="Y23" s="66" t="s">
        <v>90</v>
      </c>
      <c r="Z23" s="35">
        <v>8.27</v>
      </c>
      <c r="AA23" s="67" t="s">
        <v>18</v>
      </c>
    </row>
    <row r="24" spans="1:67" x14ac:dyDescent="0.35">
      <c r="A24" s="126" t="s">
        <v>91</v>
      </c>
      <c r="B24" s="128" t="str">
        <f>IF($B$18="Custom",VLOOKUP($B$17,Code_year_options,3,FALSE),VLOOKUP($B$17&amp;"_Pub",Code_year_options,3,FALSE))</f>
        <v>B_2025_v4</v>
      </c>
      <c r="C24" s="62"/>
      <c r="D24" s="137" t="s">
        <v>66</v>
      </c>
      <c r="E24" s="138">
        <f ca="1"/>
        <v>0.41484224398304331</v>
      </c>
      <c r="F24" s="138">
        <f ca="1"/>
        <v>0.39993621933363221</v>
      </c>
      <c r="G24" s="138">
        <f ca="1"/>
        <v>0.3753426671256872</v>
      </c>
      <c r="H24" s="139">
        <f ca="1"/>
        <v>0.38788826345088839</v>
      </c>
      <c r="I24" s="139">
        <f ca="1"/>
        <v>0.33451469849862581</v>
      </c>
      <c r="J24" s="139">
        <f ca="1"/>
        <v>0.34277264310407424</v>
      </c>
      <c r="K24" s="139">
        <f ca="1"/>
        <v>0.33517797868988403</v>
      </c>
      <c r="L24" s="139">
        <f ca="1"/>
        <v>0.34124130541527548</v>
      </c>
      <c r="M24" s="139">
        <f ca="1"/>
        <v>0.34072409221537592</v>
      </c>
      <c r="N24" s="139">
        <f ca="1"/>
        <v>0.3460433009105347</v>
      </c>
      <c r="O24" s="139">
        <f ca="1"/>
        <v>0.36122713425703401</v>
      </c>
      <c r="P24" s="139">
        <f ca="1"/>
        <v>0.36859711727179906</v>
      </c>
      <c r="Q24" s="139">
        <f ca="1"/>
        <v>0.36270898935941981</v>
      </c>
      <c r="R24" s="139">
        <f ca="1"/>
        <v>0.36469665363024184</v>
      </c>
      <c r="S24" s="139">
        <f ca="1"/>
        <v>0.38343763524606084</v>
      </c>
      <c r="T24" s="139">
        <f ca="1"/>
        <v>0.36643290307261034</v>
      </c>
      <c r="U24" s="139">
        <f ca="1"/>
        <v>0.36907861341978548</v>
      </c>
      <c r="V24" s="139">
        <f ca="1"/>
        <v>0.38484416775334374</v>
      </c>
      <c r="W24" s="139">
        <f ca="1"/>
        <v>0.4133102564162795</v>
      </c>
      <c r="Y24" s="66" t="s">
        <v>92</v>
      </c>
      <c r="Z24" s="35">
        <v>123</v>
      </c>
      <c r="AA24" s="67" t="s">
        <v>20</v>
      </c>
    </row>
    <row r="25" spans="1:67" x14ac:dyDescent="0.35">
      <c r="A25" s="129" t="s">
        <v>93</v>
      </c>
      <c r="B25" s="130" t="str">
        <f>IF($B$18="Custom",VLOOKUP($B$17,Code_year_options,4,FALSE),VLOOKUP($B$17&amp;"_Pub",Code_year_options,4,FALSE))</f>
        <v>C_2025_v4</v>
      </c>
      <c r="C25" s="62"/>
      <c r="D25" s="137" t="s">
        <v>67</v>
      </c>
      <c r="E25" s="138">
        <f ca="1"/>
        <v>0.44523725784672991</v>
      </c>
      <c r="F25" s="138">
        <f ca="1"/>
        <v>0.4455712531591563</v>
      </c>
      <c r="G25" s="138">
        <f ca="1"/>
        <v>0.42915471171422626</v>
      </c>
      <c r="H25" s="139">
        <f ca="1"/>
        <v>0.43886787912269098</v>
      </c>
      <c r="I25" s="139">
        <f ca="1"/>
        <v>0.40866153559613777</v>
      </c>
      <c r="J25" s="139">
        <f ca="1"/>
        <v>0.42879015067050413</v>
      </c>
      <c r="K25" s="139">
        <f ca="1"/>
        <v>0.43018741579573339</v>
      </c>
      <c r="L25" s="139">
        <f ca="1"/>
        <v>0.39296739188941082</v>
      </c>
      <c r="M25" s="139">
        <f ca="1"/>
        <v>0.36813430210803877</v>
      </c>
      <c r="N25" s="139">
        <f ca="1"/>
        <v>0.36567414709121493</v>
      </c>
      <c r="O25" s="139">
        <f ca="1"/>
        <v>0.37758831689851247</v>
      </c>
      <c r="P25" s="139">
        <f ca="1"/>
        <v>0.3785488679681735</v>
      </c>
      <c r="Q25" s="139">
        <f ca="1"/>
        <v>0.38310772719287145</v>
      </c>
      <c r="R25" s="139">
        <f ca="1"/>
        <v>0.38149017402225949</v>
      </c>
      <c r="S25" s="139">
        <f ca="1"/>
        <v>0.37796796372647218</v>
      </c>
      <c r="T25" s="139">
        <f ca="1"/>
        <v>0.38302175358527574</v>
      </c>
      <c r="U25" s="139">
        <f ca="1"/>
        <v>0.36853259028579866</v>
      </c>
      <c r="V25" s="139">
        <f ca="1"/>
        <v>0.38294835590723403</v>
      </c>
      <c r="W25" s="139">
        <f ca="1"/>
        <v>0.41404060538351872</v>
      </c>
      <c r="Y25" s="62"/>
      <c r="Z25" s="62"/>
      <c r="AA25" s="62"/>
    </row>
    <row r="26" spans="1:67" x14ac:dyDescent="0.35">
      <c r="A26" s="62"/>
      <c r="B26" s="62"/>
      <c r="C26" s="62"/>
      <c r="D26" s="137" t="s">
        <v>68</v>
      </c>
      <c r="E26" s="138">
        <f ca="1"/>
        <v>0.23825437685348269</v>
      </c>
      <c r="F26" s="138">
        <f ca="1"/>
        <v>0.2539998819223051</v>
      </c>
      <c r="G26" s="138">
        <f ca="1"/>
        <v>0.21326238582420776</v>
      </c>
      <c r="H26" s="139">
        <f ca="1"/>
        <v>0.23873250636132287</v>
      </c>
      <c r="I26" s="139">
        <f ca="1"/>
        <v>0.20128086183446087</v>
      </c>
      <c r="J26" s="139">
        <f ca="1"/>
        <v>0.21491020692382418</v>
      </c>
      <c r="K26" s="139">
        <f ca="1"/>
        <v>0.23806337814001577</v>
      </c>
      <c r="L26" s="139">
        <f ca="1"/>
        <v>0.20517857270476522</v>
      </c>
      <c r="M26" s="139">
        <f ca="1"/>
        <v>0.17640454191531402</v>
      </c>
      <c r="N26" s="139">
        <f ca="1"/>
        <v>0.23720822482734863</v>
      </c>
      <c r="O26" s="139">
        <f ca="1"/>
        <v>0.20810900615137698</v>
      </c>
      <c r="P26" s="139">
        <f ca="1"/>
        <v>0.21406272591355457</v>
      </c>
      <c r="Q26" s="139">
        <f ca="1"/>
        <v>0.27680321724332735</v>
      </c>
      <c r="R26" s="139">
        <f ca="1"/>
        <v>0.23745752937763426</v>
      </c>
      <c r="S26" s="139">
        <f ca="1"/>
        <v>0.21521675366397749</v>
      </c>
      <c r="T26" s="139">
        <f ca="1"/>
        <v>0.31227811972937791</v>
      </c>
      <c r="U26" s="139">
        <f ca="1"/>
        <v>0.27668493751884876</v>
      </c>
      <c r="V26" s="139">
        <f ca="1"/>
        <v>0.28960398883575855</v>
      </c>
      <c r="W26" s="139">
        <f ca="1"/>
        <v>0.32446066303680599</v>
      </c>
      <c r="Y26" s="62"/>
      <c r="Z26" s="62"/>
      <c r="AA26" s="62"/>
    </row>
    <row r="27" spans="1:67" x14ac:dyDescent="0.35">
      <c r="C27" s="62"/>
      <c r="D27" s="140" t="s">
        <v>69</v>
      </c>
      <c r="E27" s="141">
        <f ca="1"/>
        <v>0.52679571768421352</v>
      </c>
      <c r="F27" s="141">
        <f ca="1"/>
        <v>0.51009949818435429</v>
      </c>
      <c r="G27" s="141">
        <f ca="1"/>
        <v>0.50096120799825139</v>
      </c>
      <c r="H27" s="142">
        <f ca="1"/>
        <v>0.50666308804899607</v>
      </c>
      <c r="I27" s="142">
        <f ca="1"/>
        <v>0.43812162808073662</v>
      </c>
      <c r="J27" s="142">
        <f ca="1"/>
        <v>0.42179655541065136</v>
      </c>
      <c r="K27" s="142">
        <f ca="1"/>
        <v>0.43039146687630431</v>
      </c>
      <c r="L27" s="142">
        <f ca="1"/>
        <v>0.42108994726608806</v>
      </c>
      <c r="M27" s="142">
        <f ca="1"/>
        <v>0.41751165310082639</v>
      </c>
      <c r="N27" s="142">
        <f ca="1"/>
        <v>0.43398152924405603</v>
      </c>
      <c r="O27" s="142">
        <f ca="1"/>
        <v>0.4187830909972492</v>
      </c>
      <c r="P27" s="142">
        <f ca="1"/>
        <v>0.44382739771951568</v>
      </c>
      <c r="Q27" s="142">
        <f ca="1"/>
        <v>0.43580476277872376</v>
      </c>
      <c r="R27" s="142">
        <f ca="1"/>
        <v>0.42950513177434507</v>
      </c>
      <c r="S27" s="142">
        <f ca="1"/>
        <v>0.44784044950377427</v>
      </c>
      <c r="T27" s="142">
        <f ca="1"/>
        <v>0.44251939506015386</v>
      </c>
      <c r="U27" s="142">
        <f ca="1"/>
        <v>0.43837045802730695</v>
      </c>
      <c r="V27" s="142">
        <f ca="1"/>
        <v>0.44862333156092649</v>
      </c>
      <c r="W27" s="142">
        <f ca="1"/>
        <v>0.46924456456973179</v>
      </c>
    </row>
    <row r="28" spans="1:67" ht="27.75" customHeight="1" x14ac:dyDescent="0.35">
      <c r="C28" s="62"/>
      <c r="D28" s="62"/>
      <c r="E28" s="62"/>
      <c r="F28" s="62"/>
      <c r="G28" s="62"/>
      <c r="H28" s="70"/>
      <c r="I28" s="70"/>
      <c r="J28" s="70"/>
      <c r="K28" s="70"/>
      <c r="L28" s="70"/>
      <c r="M28" s="70"/>
      <c r="N28" s="70"/>
      <c r="O28" s="70"/>
      <c r="P28" s="70"/>
      <c r="Q28" s="70"/>
      <c r="R28" s="70"/>
      <c r="S28" s="70"/>
      <c r="T28" s="70"/>
      <c r="U28" s="70"/>
      <c r="V28" s="70"/>
      <c r="W28" s="70"/>
      <c r="BO28" s="68"/>
    </row>
    <row r="29" spans="1:67" x14ac:dyDescent="0.35">
      <c r="A29" s="62"/>
      <c r="B29" s="62"/>
      <c r="C29" s="62"/>
      <c r="D29" s="71" t="s">
        <v>95</v>
      </c>
      <c r="E29" s="72"/>
      <c r="F29" s="72"/>
      <c r="G29" s="72"/>
      <c r="H29" s="73"/>
      <c r="I29" s="73"/>
      <c r="J29" s="73"/>
      <c r="K29" s="73"/>
      <c r="L29" s="73"/>
      <c r="M29" s="73"/>
      <c r="N29" s="73"/>
      <c r="O29" s="73"/>
      <c r="P29" s="73"/>
      <c r="Q29" s="73"/>
      <c r="R29" s="73"/>
      <c r="S29" s="73"/>
      <c r="T29" s="73"/>
      <c r="U29" s="73"/>
      <c r="V29" s="73"/>
      <c r="W29" s="73"/>
      <c r="Y29" s="236" t="s">
        <v>103</v>
      </c>
      <c r="Z29" s="236"/>
      <c r="AA29" s="236"/>
    </row>
    <row r="30" spans="1:67" ht="15" customHeight="1" x14ac:dyDescent="0.35">
      <c r="A30" s="62"/>
      <c r="B30" s="62"/>
      <c r="C30" s="62"/>
      <c r="D30" s="63"/>
      <c r="E30" s="64" t="s">
        <v>39</v>
      </c>
      <c r="F30" s="64" t="s">
        <v>40</v>
      </c>
      <c r="G30" s="64" t="s">
        <v>41</v>
      </c>
      <c r="H30" s="65" t="s">
        <v>42</v>
      </c>
      <c r="I30" s="65" t="s">
        <v>43</v>
      </c>
      <c r="J30" s="65" t="s">
        <v>44</v>
      </c>
      <c r="K30" s="65" t="s">
        <v>45</v>
      </c>
      <c r="L30" s="65" t="s">
        <v>46</v>
      </c>
      <c r="M30" s="65" t="s">
        <v>47</v>
      </c>
      <c r="N30" s="65" t="s">
        <v>48</v>
      </c>
      <c r="O30" s="65" t="s">
        <v>49</v>
      </c>
      <c r="P30" s="65" t="s">
        <v>50</v>
      </c>
      <c r="Q30" s="65" t="s">
        <v>51</v>
      </c>
      <c r="R30" s="65" t="s">
        <v>52</v>
      </c>
      <c r="S30" s="65" t="s">
        <v>53</v>
      </c>
      <c r="T30" s="65" t="s">
        <v>54</v>
      </c>
      <c r="U30" s="65" t="s">
        <v>55</v>
      </c>
      <c r="V30" s="65" t="s">
        <v>56</v>
      </c>
      <c r="W30" s="65" t="s">
        <v>57</v>
      </c>
      <c r="Y30" s="237"/>
      <c r="Z30" s="237"/>
      <c r="AA30" s="237"/>
    </row>
    <row r="31" spans="1:67" x14ac:dyDescent="0.35">
      <c r="A31" s="62"/>
      <c r="B31" s="62"/>
      <c r="C31" s="62"/>
      <c r="D31" s="185" t="s">
        <v>58</v>
      </c>
      <c r="E31" s="135">
        <f ca="1">E19-E7</f>
        <v>0</v>
      </c>
      <c r="F31" s="135">
        <f t="shared" ref="F31:W39" ca="1" si="0">F19-F7</f>
        <v>0</v>
      </c>
      <c r="G31" s="135">
        <f t="shared" ca="1" si="0"/>
        <v>0</v>
      </c>
      <c r="H31" s="143">
        <f t="shared" ca="1" si="0"/>
        <v>0</v>
      </c>
      <c r="I31" s="143">
        <f t="shared" ca="1" si="0"/>
        <v>0</v>
      </c>
      <c r="J31" s="143">
        <f t="shared" ca="1" si="0"/>
        <v>0</v>
      </c>
      <c r="K31" s="143">
        <f t="shared" ca="1" si="0"/>
        <v>0</v>
      </c>
      <c r="L31" s="143">
        <f t="shared" ca="1" si="0"/>
        <v>0</v>
      </c>
      <c r="M31" s="143">
        <f t="shared" ca="1" si="0"/>
        <v>0</v>
      </c>
      <c r="N31" s="143">
        <f t="shared" ca="1" si="0"/>
        <v>0</v>
      </c>
      <c r="O31" s="143">
        <f t="shared" ca="1" si="0"/>
        <v>0</v>
      </c>
      <c r="P31" s="143">
        <f t="shared" ca="1" si="0"/>
        <v>0</v>
      </c>
      <c r="Q31" s="143">
        <f t="shared" ca="1" si="0"/>
        <v>0</v>
      </c>
      <c r="R31" s="143">
        <f t="shared" ca="1" si="0"/>
        <v>0</v>
      </c>
      <c r="S31" s="143">
        <f t="shared" ca="1" si="0"/>
        <v>0</v>
      </c>
      <c r="T31" s="143">
        <f t="shared" ca="1" si="0"/>
        <v>0</v>
      </c>
      <c r="U31" s="143">
        <f t="shared" ca="1" si="0"/>
        <v>0</v>
      </c>
      <c r="V31" s="143">
        <f t="shared" ca="1" si="0"/>
        <v>0</v>
      </c>
      <c r="W31" s="144">
        <f t="shared" ca="1" si="0"/>
        <v>0</v>
      </c>
      <c r="Y31" s="66" t="s">
        <v>84</v>
      </c>
      <c r="Z31" s="66">
        <v>0.11219999999999999</v>
      </c>
      <c r="AA31" s="67" t="s">
        <v>9</v>
      </c>
    </row>
    <row r="32" spans="1:67" x14ac:dyDescent="0.35">
      <c r="A32" s="62"/>
      <c r="B32" s="62"/>
      <c r="C32" s="62"/>
      <c r="D32" s="186" t="s">
        <v>62</v>
      </c>
      <c r="E32" s="145">
        <f t="shared" ref="E32:T39" ca="1" si="1">E20-E8</f>
        <v>0</v>
      </c>
      <c r="F32" s="145">
        <f t="shared" ca="1" si="1"/>
        <v>0</v>
      </c>
      <c r="G32" s="145">
        <f t="shared" ca="1" si="1"/>
        <v>0</v>
      </c>
      <c r="H32" s="146">
        <f t="shared" ca="1" si="1"/>
        <v>0</v>
      </c>
      <c r="I32" s="146">
        <f t="shared" ca="1" si="1"/>
        <v>0</v>
      </c>
      <c r="J32" s="146">
        <f t="shared" ca="1" si="1"/>
        <v>0</v>
      </c>
      <c r="K32" s="146">
        <f t="shared" ca="1" si="1"/>
        <v>0</v>
      </c>
      <c r="L32" s="146">
        <f t="shared" ca="1" si="1"/>
        <v>0</v>
      </c>
      <c r="M32" s="146">
        <f t="shared" ca="1" si="1"/>
        <v>0</v>
      </c>
      <c r="N32" s="146">
        <f t="shared" ca="1" si="1"/>
        <v>0</v>
      </c>
      <c r="O32" s="146">
        <f t="shared" ca="1" si="1"/>
        <v>0</v>
      </c>
      <c r="P32" s="146">
        <f t="shared" ca="1" si="1"/>
        <v>0</v>
      </c>
      <c r="Q32" s="146">
        <f t="shared" ca="1" si="1"/>
        <v>0</v>
      </c>
      <c r="R32" s="146">
        <f t="shared" ca="1" si="1"/>
        <v>0</v>
      </c>
      <c r="S32" s="146">
        <f t="shared" ca="1" si="1"/>
        <v>0</v>
      </c>
      <c r="T32" s="146">
        <f t="shared" ca="1" si="1"/>
        <v>0</v>
      </c>
      <c r="U32" s="146">
        <f t="shared" ca="1" si="0"/>
        <v>0</v>
      </c>
      <c r="V32" s="146">
        <f t="shared" ca="1" si="0"/>
        <v>0</v>
      </c>
      <c r="W32" s="147">
        <f t="shared" ca="1" si="0"/>
        <v>0</v>
      </c>
      <c r="Y32" s="66" t="s">
        <v>86</v>
      </c>
      <c r="Z32" s="66">
        <v>0.83799999999999997</v>
      </c>
      <c r="AA32" s="67" t="s">
        <v>11</v>
      </c>
    </row>
    <row r="33" spans="1:27" x14ac:dyDescent="0.35">
      <c r="A33" s="62"/>
      <c r="B33" s="62"/>
      <c r="C33" s="62"/>
      <c r="D33" s="186" t="s">
        <v>63</v>
      </c>
      <c r="E33" s="138">
        <f t="shared" ca="1" si="1"/>
        <v>0</v>
      </c>
      <c r="F33" s="138">
        <f t="shared" ca="1" si="0"/>
        <v>0</v>
      </c>
      <c r="G33" s="138">
        <f t="shared" ca="1" si="0"/>
        <v>0</v>
      </c>
      <c r="H33" s="148">
        <f t="shared" ca="1" si="0"/>
        <v>0</v>
      </c>
      <c r="I33" s="148">
        <f t="shared" ca="1" si="0"/>
        <v>0</v>
      </c>
      <c r="J33" s="148">
        <f t="shared" ca="1" si="0"/>
        <v>0</v>
      </c>
      <c r="K33" s="148">
        <f t="shared" ca="1" si="0"/>
        <v>0</v>
      </c>
      <c r="L33" s="148">
        <f t="shared" ca="1" si="0"/>
        <v>0</v>
      </c>
      <c r="M33" s="148">
        <f t="shared" ca="1" si="0"/>
        <v>0</v>
      </c>
      <c r="N33" s="148">
        <f t="shared" ca="1" si="0"/>
        <v>0</v>
      </c>
      <c r="O33" s="148">
        <f t="shared" ca="1" si="0"/>
        <v>0</v>
      </c>
      <c r="P33" s="148">
        <f t="shared" ca="1" si="0"/>
        <v>0</v>
      </c>
      <c r="Q33" s="148">
        <f t="shared" ca="1" si="0"/>
        <v>0</v>
      </c>
      <c r="R33" s="148">
        <f t="shared" ca="1" si="0"/>
        <v>0</v>
      </c>
      <c r="S33" s="148">
        <f t="shared" ca="1" si="0"/>
        <v>0</v>
      </c>
      <c r="T33" s="148">
        <f t="shared" ca="1" si="0"/>
        <v>0</v>
      </c>
      <c r="U33" s="148">
        <f t="shared" ca="1" si="0"/>
        <v>0</v>
      </c>
      <c r="V33" s="148">
        <f t="shared" ca="1" si="0"/>
        <v>0</v>
      </c>
      <c r="W33" s="149">
        <f t="shared" ca="1" si="0"/>
        <v>0</v>
      </c>
      <c r="Y33" s="66" t="s">
        <v>109</v>
      </c>
      <c r="Z33" s="66">
        <v>0.47099999999999997</v>
      </c>
      <c r="AA33" s="67" t="s">
        <v>13</v>
      </c>
    </row>
    <row r="34" spans="1:27" x14ac:dyDescent="0.35">
      <c r="A34" s="62"/>
      <c r="B34" s="62"/>
      <c r="C34" s="62"/>
      <c r="D34" s="186" t="s">
        <v>64</v>
      </c>
      <c r="E34" s="145">
        <f t="shared" ca="1" si="1"/>
        <v>0</v>
      </c>
      <c r="F34" s="145">
        <f t="shared" ca="1" si="0"/>
        <v>0</v>
      </c>
      <c r="G34" s="145">
        <f t="shared" ca="1" si="0"/>
        <v>0</v>
      </c>
      <c r="H34" s="146">
        <f t="shared" ca="1" si="0"/>
        <v>0</v>
      </c>
      <c r="I34" s="146">
        <f t="shared" ca="1" si="0"/>
        <v>0</v>
      </c>
      <c r="J34" s="146">
        <f t="shared" ca="1" si="0"/>
        <v>0</v>
      </c>
      <c r="K34" s="146">
        <f t="shared" ca="1" si="0"/>
        <v>0</v>
      </c>
      <c r="L34" s="146">
        <f t="shared" ca="1" si="0"/>
        <v>0</v>
      </c>
      <c r="M34" s="146">
        <f t="shared" ca="1" si="0"/>
        <v>0</v>
      </c>
      <c r="N34" s="146">
        <f t="shared" ca="1" si="0"/>
        <v>0</v>
      </c>
      <c r="O34" s="146">
        <f t="shared" ca="1" si="0"/>
        <v>0</v>
      </c>
      <c r="P34" s="146">
        <f t="shared" ca="1" si="0"/>
        <v>0</v>
      </c>
      <c r="Q34" s="146">
        <f t="shared" ca="1" si="0"/>
        <v>0</v>
      </c>
      <c r="R34" s="146">
        <f t="shared" ca="1" si="0"/>
        <v>0</v>
      </c>
      <c r="S34" s="146">
        <f t="shared" ca="1" si="0"/>
        <v>0</v>
      </c>
      <c r="T34" s="146">
        <f t="shared" ca="1" si="0"/>
        <v>0</v>
      </c>
      <c r="U34" s="146">
        <f t="shared" ca="1" si="0"/>
        <v>0</v>
      </c>
      <c r="V34" s="146">
        <f t="shared" ca="1" si="0"/>
        <v>0</v>
      </c>
      <c r="W34" s="147">
        <f t="shared" ca="1" si="0"/>
        <v>0</v>
      </c>
      <c r="Y34" s="66" t="s">
        <v>110</v>
      </c>
      <c r="Z34" s="66">
        <v>14.7</v>
      </c>
      <c r="AA34" s="67" t="s">
        <v>15</v>
      </c>
    </row>
    <row r="35" spans="1:27" x14ac:dyDescent="0.35">
      <c r="A35" s="62"/>
      <c r="B35" s="62"/>
      <c r="C35" s="62"/>
      <c r="D35" s="186" t="s">
        <v>65</v>
      </c>
      <c r="E35" s="138">
        <f t="shared" ca="1" si="1"/>
        <v>0</v>
      </c>
      <c r="F35" s="138">
        <f t="shared" ca="1" si="0"/>
        <v>0</v>
      </c>
      <c r="G35" s="138">
        <f t="shared" ca="1" si="0"/>
        <v>0</v>
      </c>
      <c r="H35" s="148">
        <f t="shared" ca="1" si="0"/>
        <v>0</v>
      </c>
      <c r="I35" s="148">
        <f t="shared" ca="1" si="0"/>
        <v>0</v>
      </c>
      <c r="J35" s="148">
        <f t="shared" ca="1" si="0"/>
        <v>0</v>
      </c>
      <c r="K35" s="148">
        <f t="shared" ca="1" si="0"/>
        <v>0</v>
      </c>
      <c r="L35" s="148">
        <f t="shared" ca="1" si="0"/>
        <v>0</v>
      </c>
      <c r="M35" s="148">
        <f t="shared" ca="1" si="0"/>
        <v>0</v>
      </c>
      <c r="N35" s="148">
        <f t="shared" ca="1" si="0"/>
        <v>0</v>
      </c>
      <c r="O35" s="148">
        <f t="shared" ca="1" si="0"/>
        <v>0</v>
      </c>
      <c r="P35" s="148">
        <f t="shared" ca="1" si="0"/>
        <v>0</v>
      </c>
      <c r="Q35" s="148">
        <f t="shared" ca="1" si="0"/>
        <v>0</v>
      </c>
      <c r="R35" s="148">
        <f t="shared" ca="1" si="0"/>
        <v>0</v>
      </c>
      <c r="S35" s="148">
        <f t="shared" ca="1" si="0"/>
        <v>0</v>
      </c>
      <c r="T35" s="148">
        <f t="shared" ca="1" si="0"/>
        <v>0</v>
      </c>
      <c r="U35" s="148">
        <f t="shared" ca="1" si="0"/>
        <v>0</v>
      </c>
      <c r="V35" s="148">
        <f t="shared" ca="1" si="0"/>
        <v>0</v>
      </c>
      <c r="W35" s="149">
        <f t="shared" ca="1" si="0"/>
        <v>0</v>
      </c>
      <c r="Y35" s="66" t="s">
        <v>90</v>
      </c>
      <c r="Z35" s="66">
        <v>8.27</v>
      </c>
      <c r="AA35" s="67" t="s">
        <v>18</v>
      </c>
    </row>
    <row r="36" spans="1:27" x14ac:dyDescent="0.35">
      <c r="A36" s="62"/>
      <c r="B36" s="62"/>
      <c r="C36" s="62"/>
      <c r="D36" s="186" t="s">
        <v>66</v>
      </c>
      <c r="E36" s="145">
        <f t="shared" ca="1" si="1"/>
        <v>0</v>
      </c>
      <c r="F36" s="145">
        <f t="shared" ca="1" si="0"/>
        <v>0</v>
      </c>
      <c r="G36" s="145">
        <f t="shared" ca="1" si="0"/>
        <v>0</v>
      </c>
      <c r="H36" s="146">
        <f t="shared" ca="1" si="0"/>
        <v>0</v>
      </c>
      <c r="I36" s="146">
        <f t="shared" ca="1" si="0"/>
        <v>0</v>
      </c>
      <c r="J36" s="146">
        <f t="shared" ca="1" si="0"/>
        <v>0</v>
      </c>
      <c r="K36" s="146">
        <f t="shared" ca="1" si="0"/>
        <v>0</v>
      </c>
      <c r="L36" s="146">
        <f t="shared" ca="1" si="0"/>
        <v>0</v>
      </c>
      <c r="M36" s="146">
        <f t="shared" ca="1" si="0"/>
        <v>0</v>
      </c>
      <c r="N36" s="146">
        <f t="shared" ca="1" si="0"/>
        <v>0</v>
      </c>
      <c r="O36" s="146">
        <f t="shared" ca="1" si="0"/>
        <v>0</v>
      </c>
      <c r="P36" s="146">
        <f t="shared" ca="1" si="0"/>
        <v>0</v>
      </c>
      <c r="Q36" s="146">
        <f t="shared" ca="1" si="0"/>
        <v>0</v>
      </c>
      <c r="R36" s="146">
        <f t="shared" ca="1" si="0"/>
        <v>0</v>
      </c>
      <c r="S36" s="146">
        <f t="shared" ca="1" si="0"/>
        <v>0</v>
      </c>
      <c r="T36" s="146">
        <f t="shared" ca="1" si="0"/>
        <v>0</v>
      </c>
      <c r="U36" s="146">
        <f t="shared" ca="1" si="0"/>
        <v>0</v>
      </c>
      <c r="V36" s="146">
        <f t="shared" ca="1" si="0"/>
        <v>0</v>
      </c>
      <c r="W36" s="147">
        <f t="shared" ca="1" si="0"/>
        <v>0</v>
      </c>
      <c r="Y36" s="66" t="s">
        <v>92</v>
      </c>
      <c r="Z36" s="66">
        <v>123</v>
      </c>
      <c r="AA36" s="67" t="s">
        <v>20</v>
      </c>
    </row>
    <row r="37" spans="1:27" x14ac:dyDescent="0.35">
      <c r="A37" s="62"/>
      <c r="B37" s="62" t="s">
        <v>0</v>
      </c>
      <c r="C37" s="62"/>
      <c r="D37" s="186" t="s">
        <v>67</v>
      </c>
      <c r="E37" s="138">
        <f t="shared" ca="1" si="1"/>
        <v>0</v>
      </c>
      <c r="F37" s="138">
        <f t="shared" ca="1" si="0"/>
        <v>0</v>
      </c>
      <c r="G37" s="138">
        <f t="shared" ca="1" si="0"/>
        <v>0</v>
      </c>
      <c r="H37" s="148">
        <f t="shared" ca="1" si="0"/>
        <v>0</v>
      </c>
      <c r="I37" s="148">
        <f t="shared" ca="1" si="0"/>
        <v>0</v>
      </c>
      <c r="J37" s="148">
        <f t="shared" ca="1" si="0"/>
        <v>0</v>
      </c>
      <c r="K37" s="148">
        <f t="shared" ca="1" si="0"/>
        <v>0</v>
      </c>
      <c r="L37" s="148">
        <f t="shared" ca="1" si="0"/>
        <v>0</v>
      </c>
      <c r="M37" s="148">
        <f t="shared" ca="1" si="0"/>
        <v>0</v>
      </c>
      <c r="N37" s="148">
        <f t="shared" ca="1" si="0"/>
        <v>0</v>
      </c>
      <c r="O37" s="148">
        <f t="shared" ca="1" si="0"/>
        <v>0</v>
      </c>
      <c r="P37" s="148">
        <f t="shared" ca="1" si="0"/>
        <v>0</v>
      </c>
      <c r="Q37" s="148">
        <f t="shared" ca="1" si="0"/>
        <v>0</v>
      </c>
      <c r="R37" s="148">
        <f t="shared" ca="1" si="0"/>
        <v>0</v>
      </c>
      <c r="S37" s="148">
        <f t="shared" ca="1" si="0"/>
        <v>0</v>
      </c>
      <c r="T37" s="148">
        <f t="shared" ca="1" si="0"/>
        <v>0</v>
      </c>
      <c r="U37" s="148">
        <f t="shared" ca="1" si="0"/>
        <v>0</v>
      </c>
      <c r="V37" s="148">
        <f t="shared" ca="1" si="0"/>
        <v>0</v>
      </c>
      <c r="W37" s="149">
        <f t="shared" ca="1" si="0"/>
        <v>0</v>
      </c>
    </row>
    <row r="38" spans="1:27" x14ac:dyDescent="0.35">
      <c r="A38" s="62"/>
      <c r="B38" s="62"/>
      <c r="C38" s="62"/>
      <c r="D38" s="186" t="s">
        <v>68</v>
      </c>
      <c r="E38" s="145">
        <f t="shared" ca="1" si="1"/>
        <v>0</v>
      </c>
      <c r="F38" s="145">
        <f t="shared" ca="1" si="0"/>
        <v>0</v>
      </c>
      <c r="G38" s="145">
        <f t="shared" ca="1" si="0"/>
        <v>0</v>
      </c>
      <c r="H38" s="146">
        <f t="shared" ca="1" si="0"/>
        <v>0</v>
      </c>
      <c r="I38" s="146">
        <f t="shared" ca="1" si="0"/>
        <v>0</v>
      </c>
      <c r="J38" s="146">
        <f t="shared" ca="1" si="0"/>
        <v>0</v>
      </c>
      <c r="K38" s="146">
        <f t="shared" ca="1" si="0"/>
        <v>0</v>
      </c>
      <c r="L38" s="146">
        <f t="shared" ca="1" si="0"/>
        <v>0</v>
      </c>
      <c r="M38" s="146">
        <f t="shared" ca="1" si="0"/>
        <v>0</v>
      </c>
      <c r="N38" s="146">
        <f t="shared" ca="1" si="0"/>
        <v>0</v>
      </c>
      <c r="O38" s="146">
        <f t="shared" ca="1" si="0"/>
        <v>0</v>
      </c>
      <c r="P38" s="146">
        <f t="shared" ca="1" si="0"/>
        <v>0</v>
      </c>
      <c r="Q38" s="146">
        <f t="shared" ca="1" si="0"/>
        <v>0</v>
      </c>
      <c r="R38" s="146">
        <f t="shared" ca="1" si="0"/>
        <v>0</v>
      </c>
      <c r="S38" s="146">
        <f t="shared" ca="1" si="0"/>
        <v>0</v>
      </c>
      <c r="T38" s="146">
        <f t="shared" ca="1" si="0"/>
        <v>0</v>
      </c>
      <c r="U38" s="146">
        <f t="shared" ca="1" si="0"/>
        <v>0</v>
      </c>
      <c r="V38" s="146">
        <f t="shared" ca="1" si="0"/>
        <v>0</v>
      </c>
      <c r="W38" s="147">
        <f t="shared" ca="1" si="0"/>
        <v>0</v>
      </c>
    </row>
    <row r="39" spans="1:27" x14ac:dyDescent="0.35">
      <c r="A39" s="62"/>
      <c r="B39" s="62"/>
      <c r="C39" s="62"/>
      <c r="D39" s="187" t="s">
        <v>69</v>
      </c>
      <c r="E39" s="141">
        <f t="shared" ca="1" si="1"/>
        <v>0</v>
      </c>
      <c r="F39" s="141">
        <f t="shared" ca="1" si="0"/>
        <v>0</v>
      </c>
      <c r="G39" s="141">
        <f t="shared" ca="1" si="0"/>
        <v>0</v>
      </c>
      <c r="H39" s="150">
        <f t="shared" ca="1" si="0"/>
        <v>0</v>
      </c>
      <c r="I39" s="150">
        <f t="shared" ca="1" si="0"/>
        <v>0</v>
      </c>
      <c r="J39" s="150">
        <f t="shared" ca="1" si="0"/>
        <v>0</v>
      </c>
      <c r="K39" s="150">
        <f t="shared" ca="1" si="0"/>
        <v>0</v>
      </c>
      <c r="L39" s="150">
        <f t="shared" ca="1" si="0"/>
        <v>0</v>
      </c>
      <c r="M39" s="150">
        <f t="shared" ca="1" si="0"/>
        <v>0</v>
      </c>
      <c r="N39" s="150">
        <f t="shared" ca="1" si="0"/>
        <v>0</v>
      </c>
      <c r="O39" s="150">
        <f t="shared" ca="1" si="0"/>
        <v>0</v>
      </c>
      <c r="P39" s="150">
        <f t="shared" ca="1" si="0"/>
        <v>0</v>
      </c>
      <c r="Q39" s="150">
        <f t="shared" ca="1" si="0"/>
        <v>0</v>
      </c>
      <c r="R39" s="150">
        <f t="shared" ca="1" si="0"/>
        <v>0</v>
      </c>
      <c r="S39" s="150">
        <f t="shared" ca="1" si="0"/>
        <v>0</v>
      </c>
      <c r="T39" s="150">
        <f t="shared" ca="1" si="0"/>
        <v>0</v>
      </c>
      <c r="U39" s="150">
        <f t="shared" ca="1" si="0"/>
        <v>0</v>
      </c>
      <c r="V39" s="150">
        <f t="shared" ca="1" si="0"/>
        <v>0</v>
      </c>
      <c r="W39" s="151">
        <f t="shared" ca="1" si="0"/>
        <v>0</v>
      </c>
    </row>
    <row r="40" spans="1:27" x14ac:dyDescent="0.35">
      <c r="A40" s="62"/>
      <c r="B40" s="62"/>
      <c r="C40" s="62"/>
      <c r="D40" s="62"/>
      <c r="E40" s="62"/>
      <c r="F40" s="62"/>
      <c r="G40" s="62"/>
      <c r="H40" s="70"/>
      <c r="I40" s="70"/>
      <c r="J40" s="70"/>
      <c r="K40" s="70"/>
      <c r="L40" s="70"/>
      <c r="M40" s="70"/>
      <c r="N40" s="70"/>
      <c r="O40" s="70"/>
      <c r="P40" s="70"/>
      <c r="Q40" s="70"/>
      <c r="R40" s="70"/>
      <c r="S40" s="70"/>
      <c r="T40" s="70"/>
      <c r="U40" s="70"/>
      <c r="V40" s="70"/>
      <c r="W40" s="70"/>
    </row>
    <row r="41" spans="1:27" x14ac:dyDescent="0.35">
      <c r="A41" s="62"/>
      <c r="B41" s="62"/>
      <c r="C41" s="62"/>
      <c r="D41" s="71" t="s">
        <v>96</v>
      </c>
      <c r="E41" s="72"/>
      <c r="F41" s="72"/>
      <c r="G41" s="72"/>
      <c r="H41" s="73"/>
      <c r="I41" s="73"/>
      <c r="J41" s="73"/>
      <c r="K41" s="73"/>
      <c r="L41" s="73"/>
      <c r="M41" s="73"/>
      <c r="N41" s="73"/>
      <c r="O41" s="73"/>
      <c r="P41" s="73"/>
      <c r="Q41" s="73"/>
      <c r="R41" s="73"/>
      <c r="S41" s="73"/>
      <c r="T41" s="73"/>
      <c r="U41" s="73"/>
      <c r="V41" s="73"/>
      <c r="W41" s="73"/>
    </row>
    <row r="42" spans="1:27" x14ac:dyDescent="0.35">
      <c r="A42" s="62"/>
      <c r="B42" s="62"/>
      <c r="C42" s="62"/>
      <c r="D42" s="63"/>
      <c r="E42" s="64" t="s">
        <v>39</v>
      </c>
      <c r="F42" s="64" t="s">
        <v>40</v>
      </c>
      <c r="G42" s="64" t="s">
        <v>41</v>
      </c>
      <c r="H42" s="65" t="s">
        <v>42</v>
      </c>
      <c r="I42" s="65" t="s">
        <v>43</v>
      </c>
      <c r="J42" s="65" t="s">
        <v>44</v>
      </c>
      <c r="K42" s="65" t="s">
        <v>45</v>
      </c>
      <c r="L42" s="65" t="s">
        <v>46</v>
      </c>
      <c r="M42" s="65" t="s">
        <v>47</v>
      </c>
      <c r="N42" s="65" t="s">
        <v>48</v>
      </c>
      <c r="O42" s="65" t="s">
        <v>49</v>
      </c>
      <c r="P42" s="65" t="s">
        <v>50</v>
      </c>
      <c r="Q42" s="65" t="s">
        <v>51</v>
      </c>
      <c r="R42" s="65" t="s">
        <v>52</v>
      </c>
      <c r="S42" s="65" t="s">
        <v>53</v>
      </c>
      <c r="T42" s="65" t="s">
        <v>54</v>
      </c>
      <c r="U42" s="65" t="s">
        <v>55</v>
      </c>
      <c r="V42" s="65" t="s">
        <v>56</v>
      </c>
      <c r="W42" s="65" t="s">
        <v>57</v>
      </c>
    </row>
    <row r="43" spans="1:27" x14ac:dyDescent="0.35">
      <c r="A43" s="62"/>
      <c r="B43" s="62"/>
      <c r="C43" s="62"/>
      <c r="D43" s="185" t="s">
        <v>58</v>
      </c>
      <c r="E43" s="152">
        <f ca="1">E31/E19</f>
        <v>0</v>
      </c>
      <c r="F43" s="152">
        <f t="shared" ref="F43:W51" ca="1" si="2">F31/F19</f>
        <v>0</v>
      </c>
      <c r="G43" s="152">
        <f t="shared" ca="1" si="2"/>
        <v>0</v>
      </c>
      <c r="H43" s="152">
        <f t="shared" ca="1" si="2"/>
        <v>0</v>
      </c>
      <c r="I43" s="152">
        <f t="shared" ca="1" si="2"/>
        <v>0</v>
      </c>
      <c r="J43" s="152">
        <f t="shared" ca="1" si="2"/>
        <v>0</v>
      </c>
      <c r="K43" s="152">
        <f t="shared" ca="1" si="2"/>
        <v>0</v>
      </c>
      <c r="L43" s="152">
        <f t="shared" ca="1" si="2"/>
        <v>0</v>
      </c>
      <c r="M43" s="152">
        <f t="shared" ca="1" si="2"/>
        <v>0</v>
      </c>
      <c r="N43" s="152">
        <f t="shared" ca="1" si="2"/>
        <v>0</v>
      </c>
      <c r="O43" s="152">
        <f t="shared" ca="1" si="2"/>
        <v>0</v>
      </c>
      <c r="P43" s="152">
        <f t="shared" ca="1" si="2"/>
        <v>0</v>
      </c>
      <c r="Q43" s="152">
        <f t="shared" ca="1" si="2"/>
        <v>0</v>
      </c>
      <c r="R43" s="152">
        <f t="shared" ca="1" si="2"/>
        <v>0</v>
      </c>
      <c r="S43" s="152">
        <f t="shared" ca="1" si="2"/>
        <v>0</v>
      </c>
      <c r="T43" s="152">
        <f t="shared" ca="1" si="2"/>
        <v>0</v>
      </c>
      <c r="U43" s="152">
        <f t="shared" ca="1" si="2"/>
        <v>0</v>
      </c>
      <c r="V43" s="152">
        <f t="shared" ca="1" si="2"/>
        <v>0</v>
      </c>
      <c r="W43" s="152">
        <f t="shared" ca="1" si="2"/>
        <v>0</v>
      </c>
    </row>
    <row r="44" spans="1:27" x14ac:dyDescent="0.35">
      <c r="A44" s="62"/>
      <c r="B44" s="62"/>
      <c r="C44" s="62"/>
      <c r="D44" s="186" t="s">
        <v>62</v>
      </c>
      <c r="E44" s="153">
        <f t="shared" ref="E44:T51" ca="1" si="3">E32/E20</f>
        <v>0</v>
      </c>
      <c r="F44" s="153">
        <f t="shared" ca="1" si="3"/>
        <v>0</v>
      </c>
      <c r="G44" s="153">
        <f t="shared" ca="1" si="3"/>
        <v>0</v>
      </c>
      <c r="H44" s="153">
        <f t="shared" ca="1" si="3"/>
        <v>0</v>
      </c>
      <c r="I44" s="153">
        <f t="shared" ca="1" si="3"/>
        <v>0</v>
      </c>
      <c r="J44" s="153">
        <f t="shared" ca="1" si="3"/>
        <v>0</v>
      </c>
      <c r="K44" s="153">
        <f t="shared" ca="1" si="3"/>
        <v>0</v>
      </c>
      <c r="L44" s="153">
        <f t="shared" ca="1" si="3"/>
        <v>0</v>
      </c>
      <c r="M44" s="153">
        <f t="shared" ca="1" si="3"/>
        <v>0</v>
      </c>
      <c r="N44" s="153">
        <f t="shared" ca="1" si="3"/>
        <v>0</v>
      </c>
      <c r="O44" s="153">
        <f t="shared" ca="1" si="3"/>
        <v>0</v>
      </c>
      <c r="P44" s="153">
        <f t="shared" ca="1" si="3"/>
        <v>0</v>
      </c>
      <c r="Q44" s="153">
        <f t="shared" ca="1" si="3"/>
        <v>0</v>
      </c>
      <c r="R44" s="153">
        <f t="shared" ca="1" si="3"/>
        <v>0</v>
      </c>
      <c r="S44" s="153">
        <f t="shared" ca="1" si="3"/>
        <v>0</v>
      </c>
      <c r="T44" s="153">
        <f t="shared" ca="1" si="3"/>
        <v>0</v>
      </c>
      <c r="U44" s="153">
        <f t="shared" ca="1" si="2"/>
        <v>0</v>
      </c>
      <c r="V44" s="153">
        <f t="shared" ca="1" si="2"/>
        <v>0</v>
      </c>
      <c r="W44" s="153">
        <f t="shared" ca="1" si="2"/>
        <v>0</v>
      </c>
    </row>
    <row r="45" spans="1:27" x14ac:dyDescent="0.35">
      <c r="A45" s="62"/>
      <c r="B45" s="62"/>
      <c r="C45" s="62"/>
      <c r="D45" s="186" t="s">
        <v>63</v>
      </c>
      <c r="E45" s="153">
        <f t="shared" ca="1" si="3"/>
        <v>0</v>
      </c>
      <c r="F45" s="153">
        <f t="shared" ca="1" si="2"/>
        <v>0</v>
      </c>
      <c r="G45" s="153">
        <f t="shared" ca="1" si="2"/>
        <v>0</v>
      </c>
      <c r="H45" s="153">
        <f t="shared" ca="1" si="2"/>
        <v>0</v>
      </c>
      <c r="I45" s="153">
        <f t="shared" ca="1" si="2"/>
        <v>0</v>
      </c>
      <c r="J45" s="153">
        <f t="shared" ca="1" si="2"/>
        <v>0</v>
      </c>
      <c r="K45" s="153">
        <f t="shared" ca="1" si="2"/>
        <v>0</v>
      </c>
      <c r="L45" s="153">
        <f t="shared" ca="1" si="2"/>
        <v>0</v>
      </c>
      <c r="M45" s="153">
        <f t="shared" ca="1" si="2"/>
        <v>0</v>
      </c>
      <c r="N45" s="153">
        <f t="shared" ca="1" si="2"/>
        <v>0</v>
      </c>
      <c r="O45" s="153">
        <f t="shared" ca="1" si="2"/>
        <v>0</v>
      </c>
      <c r="P45" s="153">
        <f t="shared" ca="1" si="2"/>
        <v>0</v>
      </c>
      <c r="Q45" s="153">
        <f t="shared" ca="1" si="2"/>
        <v>0</v>
      </c>
      <c r="R45" s="153">
        <f t="shared" ca="1" si="2"/>
        <v>0</v>
      </c>
      <c r="S45" s="153">
        <f t="shared" ca="1" si="2"/>
        <v>0</v>
      </c>
      <c r="T45" s="153">
        <f t="shared" ca="1" si="2"/>
        <v>0</v>
      </c>
      <c r="U45" s="153">
        <f t="shared" ca="1" si="2"/>
        <v>0</v>
      </c>
      <c r="V45" s="153">
        <f t="shared" ca="1" si="2"/>
        <v>0</v>
      </c>
      <c r="W45" s="153">
        <f t="shared" ca="1" si="2"/>
        <v>0</v>
      </c>
    </row>
    <row r="46" spans="1:27" x14ac:dyDescent="0.35">
      <c r="A46" s="62"/>
      <c r="B46" s="62"/>
      <c r="C46" s="62"/>
      <c r="D46" s="186" t="s">
        <v>64</v>
      </c>
      <c r="E46" s="153">
        <f t="shared" ca="1" si="3"/>
        <v>0</v>
      </c>
      <c r="F46" s="153">
        <f t="shared" ca="1" si="2"/>
        <v>0</v>
      </c>
      <c r="G46" s="153">
        <f t="shared" ca="1" si="2"/>
        <v>0</v>
      </c>
      <c r="H46" s="153">
        <f t="shared" ca="1" si="2"/>
        <v>0</v>
      </c>
      <c r="I46" s="153">
        <f t="shared" ca="1" si="2"/>
        <v>0</v>
      </c>
      <c r="J46" s="153">
        <f t="shared" ca="1" si="2"/>
        <v>0</v>
      </c>
      <c r="K46" s="153">
        <f t="shared" ca="1" si="2"/>
        <v>0</v>
      </c>
      <c r="L46" s="153">
        <f t="shared" ca="1" si="2"/>
        <v>0</v>
      </c>
      <c r="M46" s="153">
        <f t="shared" ca="1" si="2"/>
        <v>0</v>
      </c>
      <c r="N46" s="153">
        <f t="shared" ca="1" si="2"/>
        <v>0</v>
      </c>
      <c r="O46" s="153">
        <f t="shared" ca="1" si="2"/>
        <v>0</v>
      </c>
      <c r="P46" s="153">
        <f t="shared" ca="1" si="2"/>
        <v>0</v>
      </c>
      <c r="Q46" s="153">
        <f t="shared" ca="1" si="2"/>
        <v>0</v>
      </c>
      <c r="R46" s="153">
        <f t="shared" ca="1" si="2"/>
        <v>0</v>
      </c>
      <c r="S46" s="153">
        <f t="shared" ca="1" si="2"/>
        <v>0</v>
      </c>
      <c r="T46" s="153">
        <f t="shared" ca="1" si="2"/>
        <v>0</v>
      </c>
      <c r="U46" s="153">
        <f t="shared" ca="1" si="2"/>
        <v>0</v>
      </c>
      <c r="V46" s="153">
        <f t="shared" ca="1" si="2"/>
        <v>0</v>
      </c>
      <c r="W46" s="153">
        <f t="shared" ca="1" si="2"/>
        <v>0</v>
      </c>
    </row>
    <row r="47" spans="1:27" x14ac:dyDescent="0.35">
      <c r="A47" s="62"/>
      <c r="B47" s="62"/>
      <c r="C47" s="62"/>
      <c r="D47" s="186" t="s">
        <v>65</v>
      </c>
      <c r="E47" s="153">
        <f t="shared" ca="1" si="3"/>
        <v>0</v>
      </c>
      <c r="F47" s="153">
        <f t="shared" ca="1" si="2"/>
        <v>0</v>
      </c>
      <c r="G47" s="153">
        <f t="shared" ca="1" si="2"/>
        <v>0</v>
      </c>
      <c r="H47" s="153">
        <f t="shared" ca="1" si="2"/>
        <v>0</v>
      </c>
      <c r="I47" s="153">
        <f t="shared" ca="1" si="2"/>
        <v>0</v>
      </c>
      <c r="J47" s="153">
        <f t="shared" ca="1" si="2"/>
        <v>0</v>
      </c>
      <c r="K47" s="153">
        <f t="shared" ca="1" si="2"/>
        <v>0</v>
      </c>
      <c r="L47" s="153">
        <f t="shared" ca="1" si="2"/>
        <v>0</v>
      </c>
      <c r="M47" s="153">
        <f t="shared" ca="1" si="2"/>
        <v>0</v>
      </c>
      <c r="N47" s="153">
        <f t="shared" ca="1" si="2"/>
        <v>0</v>
      </c>
      <c r="O47" s="153">
        <f t="shared" ca="1" si="2"/>
        <v>0</v>
      </c>
      <c r="P47" s="153">
        <f t="shared" ca="1" si="2"/>
        <v>0</v>
      </c>
      <c r="Q47" s="153">
        <f t="shared" ca="1" si="2"/>
        <v>0</v>
      </c>
      <c r="R47" s="153">
        <f t="shared" ca="1" si="2"/>
        <v>0</v>
      </c>
      <c r="S47" s="153">
        <f t="shared" ca="1" si="2"/>
        <v>0</v>
      </c>
      <c r="T47" s="153">
        <f t="shared" ca="1" si="2"/>
        <v>0</v>
      </c>
      <c r="U47" s="153">
        <f t="shared" ca="1" si="2"/>
        <v>0</v>
      </c>
      <c r="V47" s="153">
        <f t="shared" ca="1" si="2"/>
        <v>0</v>
      </c>
      <c r="W47" s="153">
        <f t="shared" ca="1" si="2"/>
        <v>0</v>
      </c>
    </row>
    <row r="48" spans="1:27" x14ac:dyDescent="0.35">
      <c r="A48" s="62"/>
      <c r="B48" s="62"/>
      <c r="C48" s="62"/>
      <c r="D48" s="186" t="s">
        <v>66</v>
      </c>
      <c r="E48" s="153">
        <f t="shared" ca="1" si="3"/>
        <v>0</v>
      </c>
      <c r="F48" s="153">
        <f t="shared" ca="1" si="2"/>
        <v>0</v>
      </c>
      <c r="G48" s="153">
        <f t="shared" ca="1" si="2"/>
        <v>0</v>
      </c>
      <c r="H48" s="153">
        <f t="shared" ca="1" si="2"/>
        <v>0</v>
      </c>
      <c r="I48" s="153">
        <f t="shared" ca="1" si="2"/>
        <v>0</v>
      </c>
      <c r="J48" s="153">
        <f t="shared" ca="1" si="2"/>
        <v>0</v>
      </c>
      <c r="K48" s="153">
        <f t="shared" ca="1" si="2"/>
        <v>0</v>
      </c>
      <c r="L48" s="153">
        <f t="shared" ca="1" si="2"/>
        <v>0</v>
      </c>
      <c r="M48" s="153">
        <f t="shared" ca="1" si="2"/>
        <v>0</v>
      </c>
      <c r="N48" s="153">
        <f t="shared" ca="1" si="2"/>
        <v>0</v>
      </c>
      <c r="O48" s="153">
        <f t="shared" ca="1" si="2"/>
        <v>0</v>
      </c>
      <c r="P48" s="153">
        <f t="shared" ca="1" si="2"/>
        <v>0</v>
      </c>
      <c r="Q48" s="153">
        <f t="shared" ca="1" si="2"/>
        <v>0</v>
      </c>
      <c r="R48" s="153">
        <f t="shared" ca="1" si="2"/>
        <v>0</v>
      </c>
      <c r="S48" s="153">
        <f t="shared" ca="1" si="2"/>
        <v>0</v>
      </c>
      <c r="T48" s="153">
        <f t="shared" ca="1" si="2"/>
        <v>0</v>
      </c>
      <c r="U48" s="153">
        <f t="shared" ca="1" si="2"/>
        <v>0</v>
      </c>
      <c r="V48" s="153">
        <f t="shared" ca="1" si="2"/>
        <v>0</v>
      </c>
      <c r="W48" s="153">
        <f t="shared" ca="1" si="2"/>
        <v>0</v>
      </c>
    </row>
    <row r="49" spans="1:27" x14ac:dyDescent="0.35">
      <c r="A49" s="62"/>
      <c r="B49" s="62"/>
      <c r="C49" s="62"/>
      <c r="D49" s="186" t="s">
        <v>67</v>
      </c>
      <c r="E49" s="153">
        <f t="shared" ca="1" si="3"/>
        <v>0</v>
      </c>
      <c r="F49" s="153">
        <f t="shared" ca="1" si="2"/>
        <v>0</v>
      </c>
      <c r="G49" s="153">
        <f t="shared" ca="1" si="2"/>
        <v>0</v>
      </c>
      <c r="H49" s="153">
        <f t="shared" ca="1" si="2"/>
        <v>0</v>
      </c>
      <c r="I49" s="153">
        <f t="shared" ca="1" si="2"/>
        <v>0</v>
      </c>
      <c r="J49" s="153">
        <f t="shared" ca="1" si="2"/>
        <v>0</v>
      </c>
      <c r="K49" s="153">
        <f t="shared" ca="1" si="2"/>
        <v>0</v>
      </c>
      <c r="L49" s="153">
        <f t="shared" ca="1" si="2"/>
        <v>0</v>
      </c>
      <c r="M49" s="153">
        <f t="shared" ca="1" si="2"/>
        <v>0</v>
      </c>
      <c r="N49" s="153">
        <f t="shared" ca="1" si="2"/>
        <v>0</v>
      </c>
      <c r="O49" s="153">
        <f t="shared" ca="1" si="2"/>
        <v>0</v>
      </c>
      <c r="P49" s="153">
        <f t="shared" ca="1" si="2"/>
        <v>0</v>
      </c>
      <c r="Q49" s="153">
        <f t="shared" ca="1" si="2"/>
        <v>0</v>
      </c>
      <c r="R49" s="153">
        <f t="shared" ca="1" si="2"/>
        <v>0</v>
      </c>
      <c r="S49" s="153">
        <f t="shared" ca="1" si="2"/>
        <v>0</v>
      </c>
      <c r="T49" s="153">
        <f t="shared" ca="1" si="2"/>
        <v>0</v>
      </c>
      <c r="U49" s="153">
        <f t="shared" ca="1" si="2"/>
        <v>0</v>
      </c>
      <c r="V49" s="153">
        <f t="shared" ca="1" si="2"/>
        <v>0</v>
      </c>
      <c r="W49" s="153">
        <f t="shared" ca="1" si="2"/>
        <v>0</v>
      </c>
    </row>
    <row r="50" spans="1:27" x14ac:dyDescent="0.35">
      <c r="A50" s="62"/>
      <c r="B50" s="62"/>
      <c r="C50" s="62"/>
      <c r="D50" s="186" t="s">
        <v>68</v>
      </c>
      <c r="E50" s="153">
        <f t="shared" ca="1" si="3"/>
        <v>0</v>
      </c>
      <c r="F50" s="153">
        <f t="shared" ca="1" si="2"/>
        <v>0</v>
      </c>
      <c r="G50" s="153">
        <f t="shared" ca="1" si="2"/>
        <v>0</v>
      </c>
      <c r="H50" s="153">
        <f t="shared" ca="1" si="2"/>
        <v>0</v>
      </c>
      <c r="I50" s="153">
        <f t="shared" ca="1" si="2"/>
        <v>0</v>
      </c>
      <c r="J50" s="153">
        <f t="shared" ca="1" si="2"/>
        <v>0</v>
      </c>
      <c r="K50" s="153">
        <f t="shared" ca="1" si="2"/>
        <v>0</v>
      </c>
      <c r="L50" s="153">
        <f t="shared" ca="1" si="2"/>
        <v>0</v>
      </c>
      <c r="M50" s="153">
        <f t="shared" ca="1" si="2"/>
        <v>0</v>
      </c>
      <c r="N50" s="153">
        <f t="shared" ca="1" si="2"/>
        <v>0</v>
      </c>
      <c r="O50" s="153">
        <f t="shared" ca="1" si="2"/>
        <v>0</v>
      </c>
      <c r="P50" s="153">
        <f t="shared" ca="1" si="2"/>
        <v>0</v>
      </c>
      <c r="Q50" s="153">
        <f t="shared" ca="1" si="2"/>
        <v>0</v>
      </c>
      <c r="R50" s="153">
        <f t="shared" ca="1" si="2"/>
        <v>0</v>
      </c>
      <c r="S50" s="153">
        <f t="shared" ca="1" si="2"/>
        <v>0</v>
      </c>
      <c r="T50" s="153">
        <f t="shared" ca="1" si="2"/>
        <v>0</v>
      </c>
      <c r="U50" s="153">
        <f t="shared" ca="1" si="2"/>
        <v>0</v>
      </c>
      <c r="V50" s="153">
        <f t="shared" ca="1" si="2"/>
        <v>0</v>
      </c>
      <c r="W50" s="153">
        <f t="shared" ca="1" si="2"/>
        <v>0</v>
      </c>
      <c r="AA50" s="155"/>
    </row>
    <row r="51" spans="1:27" x14ac:dyDescent="0.35">
      <c r="A51" s="62"/>
      <c r="B51" s="62"/>
      <c r="C51" s="62"/>
      <c r="D51" s="187" t="s">
        <v>69</v>
      </c>
      <c r="E51" s="154">
        <f t="shared" ca="1" si="3"/>
        <v>0</v>
      </c>
      <c r="F51" s="154">
        <f t="shared" ca="1" si="2"/>
        <v>0</v>
      </c>
      <c r="G51" s="154">
        <f t="shared" ca="1" si="2"/>
        <v>0</v>
      </c>
      <c r="H51" s="154">
        <f t="shared" ca="1" si="2"/>
        <v>0</v>
      </c>
      <c r="I51" s="154">
        <f t="shared" ca="1" si="2"/>
        <v>0</v>
      </c>
      <c r="J51" s="154">
        <f t="shared" ca="1" si="2"/>
        <v>0</v>
      </c>
      <c r="K51" s="154">
        <f t="shared" ca="1" si="2"/>
        <v>0</v>
      </c>
      <c r="L51" s="154">
        <f t="shared" ca="1" si="2"/>
        <v>0</v>
      </c>
      <c r="M51" s="154">
        <f t="shared" ca="1" si="2"/>
        <v>0</v>
      </c>
      <c r="N51" s="154">
        <f t="shared" ca="1" si="2"/>
        <v>0</v>
      </c>
      <c r="O51" s="154">
        <f t="shared" ca="1" si="2"/>
        <v>0</v>
      </c>
      <c r="P51" s="154">
        <f t="shared" ca="1" si="2"/>
        <v>0</v>
      </c>
      <c r="Q51" s="154">
        <f t="shared" ca="1" si="2"/>
        <v>0</v>
      </c>
      <c r="R51" s="154">
        <f t="shared" ca="1" si="2"/>
        <v>0</v>
      </c>
      <c r="S51" s="154">
        <f t="shared" ca="1" si="2"/>
        <v>0</v>
      </c>
      <c r="T51" s="154">
        <f t="shared" ca="1" si="2"/>
        <v>0</v>
      </c>
      <c r="U51" s="154">
        <f t="shared" ca="1" si="2"/>
        <v>0</v>
      </c>
      <c r="V51" s="154">
        <f t="shared" ca="1" si="2"/>
        <v>0</v>
      </c>
      <c r="W51" s="154">
        <f t="shared" ca="1" si="2"/>
        <v>0</v>
      </c>
    </row>
    <row r="52" spans="1:27" x14ac:dyDescent="0.35"/>
  </sheetData>
  <sheetProtection algorithmName="SHA-512" hashValue="vqg8V8v8B3h3f6EPEFfVFeU2z/aCsVEdwy6JGUODA71v2BGfX56pZZfXO+9FLdnC2dqZyuVBeA8V2S9/jifbcA==" saltValue="tOYYYpawWqccjkP+2F/uMA==" spinCount="100000" sheet="1" objects="1" scenarios="1"/>
  <mergeCells count="7">
    <mergeCell ref="Y29:AA30"/>
    <mergeCell ref="B3:B4"/>
    <mergeCell ref="A20:B20"/>
    <mergeCell ref="Y18:AA18"/>
    <mergeCell ref="Y6:AA6"/>
    <mergeCell ref="A8:B8"/>
    <mergeCell ref="E2:T3"/>
  </mergeCells>
  <conditionalFormatting sqref="E31:W39">
    <cfRule type="colorScale" priority="2">
      <colorScale>
        <cfvo type="num" val="-0.03"/>
        <cfvo type="num" val="0"/>
        <cfvo type="num" val="0.03"/>
        <color rgb="FF63BE7B"/>
        <color rgb="FFFCFCFF"/>
        <color rgb="FFF8696B"/>
      </colorScale>
    </cfRule>
  </conditionalFormatting>
  <conditionalFormatting sqref="E43:W51">
    <cfRule type="colorScale" priority="1">
      <colorScale>
        <cfvo type="min"/>
        <cfvo type="num" val="0"/>
        <cfvo type="max"/>
        <color rgb="FFF8696B"/>
        <color rgb="FFFCFCFF"/>
        <color rgb="FF63BE7B"/>
      </colorScale>
    </cfRule>
  </conditionalFormatting>
  <dataValidations count="3">
    <dataValidation type="list" allowBlank="1" showInputMessage="1" showErrorMessage="1" sqref="B19 B7" xr:uid="{997EEDC4-7174-4533-8D8C-C657D55D3343}">
      <formula1>"Site, Cost, Source, Emissions"</formula1>
    </dataValidation>
    <dataValidation type="list" allowBlank="1" showInputMessage="1" showErrorMessage="1" sqref="B6 B18" xr:uid="{C0E151E1-FE00-46C0-AF06-4814888E8798}">
      <formula1>"As Published, Custom"</formula1>
    </dataValidation>
    <dataValidation type="list" allowBlank="1" showInputMessage="1" showErrorMessage="1" sqref="B17 B5" xr:uid="{067BC7D7-BF7C-4975-9DCB-0F834E810B5F}">
      <formula1>Code_years</formula1>
    </dataValidation>
  </dataValidation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BCCC17FAB3452B4D84E7948EAB73E2F1" ma:contentTypeVersion="17" ma:contentTypeDescription="Create a new document." ma:contentTypeScope="" ma:versionID="921b1b0ca5e3a7c42f63e18ac8058fee">
  <xsd:schema xmlns:xsd="http://www.w3.org/2001/XMLSchema" xmlns:xs="http://www.w3.org/2001/XMLSchema" xmlns:p="http://schemas.microsoft.com/office/2006/metadata/properties" xmlns:ns2="9b2dfbd6-afb6-484a-bbe2-66496038ea90" xmlns:ns3="f23c5b08-517a-4477-a2c7-02d840f4137a" xmlns:ns4="5cece13e-3376-4417-9525-be60b11a89a8" targetNamespace="http://schemas.microsoft.com/office/2006/metadata/properties" ma:root="true" ma:fieldsID="71edf2f1fe30af97d0f218746a043e35" ns2:_="" ns3:_="" ns4:_="">
    <xsd:import namespace="9b2dfbd6-afb6-484a-bbe2-66496038ea90"/>
    <xsd:import namespace="f23c5b08-517a-4477-a2c7-02d840f4137a"/>
    <xsd:import namespace="5cece13e-3376-4417-9525-be60b11a89a8"/>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lcf76f155ced4ddcb4097134ff3c332f" minOccurs="0"/>
                <xsd:element ref="ns4:TaxCatchAll" minOccurs="0"/>
                <xsd:element ref="ns2:MediaServiceObjectDetectorVersions" minOccurs="0"/>
                <xsd:element ref="ns2:MediaServiceSearchPropertie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fbd6-afb6-484a-bbe2-66496038ea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260f1aaf-6244-4bb9-9bf9-38bf37385302"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Location" ma:index="22" nillable="true" ma:displayName="Location" ma:indexed="true" ma:internalName="MediaServiceLocation" ma:readOnly="true">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23c5b08-517a-4477-a2c7-02d840f4137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5cece13e-3376-4417-9525-be60b11a89a8"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91542039-a633-4e98-a889-695b40448f80}" ma:internalName="TaxCatchAll" ma:showField="CatchAllData" ma:web="f23c5b08-517a-4477-a2c7-02d840f4137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5cece13e-3376-4417-9525-be60b11a89a8" xsi:nil="true"/>
    <lcf76f155ced4ddcb4097134ff3c332f xmlns="9b2dfbd6-afb6-484a-bbe2-66496038ea9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E8EF25D-B017-41B5-B1CF-D04562F6B5FA}">
  <ds:schemaRefs>
    <ds:schemaRef ds:uri="http://schemas.microsoft.com/sharepoint/v3/contenttype/forms"/>
  </ds:schemaRefs>
</ds:datastoreItem>
</file>

<file path=customXml/itemProps2.xml><?xml version="1.0" encoding="utf-8"?>
<ds:datastoreItem xmlns:ds="http://schemas.openxmlformats.org/officeDocument/2006/customXml" ds:itemID="{A20A4D4D-F4F1-4C34-8CF1-2F0AB26AD81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fbd6-afb6-484a-bbe2-66496038ea90"/>
    <ds:schemaRef ds:uri="f23c5b08-517a-4477-a2c7-02d840f4137a"/>
    <ds:schemaRef ds:uri="5cece13e-3376-4417-9525-be60b11a89a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53ED503-03A6-4D1D-A4A3-6DAD13D8BB3E}">
  <ds:schemaRefs>
    <ds:schemaRef ds:uri="http://schemas.microsoft.com/office/2006/metadata/properties"/>
    <ds:schemaRef ds:uri="http://schemas.microsoft.com/office/infopath/2007/PartnerControls"/>
    <ds:schemaRef ds:uri="5cece13e-3376-4417-9525-be60b11a89a8"/>
    <ds:schemaRef ds:uri="9b2dfbd6-afb6-484a-bbe2-66496038ea9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12</vt:i4>
      </vt:variant>
    </vt:vector>
  </HeadingPairs>
  <TitlesOfParts>
    <vt:vector size="15" baseType="lpstr">
      <vt:lpstr>BPF Calculator</vt:lpstr>
      <vt:lpstr>Calculator</vt:lpstr>
      <vt:lpstr>BPF Compare</vt:lpstr>
      <vt:lpstr>A_2025_v4</vt:lpstr>
      <vt:lpstr>B_2025_v4</vt:lpstr>
      <vt:lpstr>C_2025_v4</vt:lpstr>
      <vt:lpstr>Code_year_options</vt:lpstr>
      <vt:lpstr>Code_years</vt:lpstr>
      <vt:lpstr>codeyear</vt:lpstr>
      <vt:lpstr>ElecCarbon</vt:lpstr>
      <vt:lpstr>ElecCost</vt:lpstr>
      <vt:lpstr>elecsource</vt:lpstr>
      <vt:lpstr>gascarbon</vt:lpstr>
      <vt:lpstr>gascost</vt:lpstr>
      <vt:lpstr>gassource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chan971</dc:creator>
  <cp:keywords/>
  <dc:description/>
  <cp:lastModifiedBy>Michael Rosenberg</cp:lastModifiedBy>
  <cp:revision/>
  <dcterms:created xsi:type="dcterms:W3CDTF">2022-02-18T11:13:22Z</dcterms:created>
  <dcterms:modified xsi:type="dcterms:W3CDTF">2025-10-15T18:07:31Z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0x010100BCCC17FAB3452B4D84E7948EAB73E2F1</vt:lpwstr>
  </property>
  <property fmtid="{D5CDD505-2E9C-101B-9397-08002B2CF9AE}" pid="3" name="MediaServiceImageTags">
    <vt:lpwstr/>
  </property>
</Properties>
</file>