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https://d.docs.live.net/00734761ff0e8067/John's PC/ASHRAE/90.1/2022 Addenda/bo - Fan Power Limits/"/>
    </mc:Choice>
  </mc:AlternateContent>
  <xr:revisionPtr revIDLastSave="61" documentId="8_{40310AE5-4872-497F-AA39-9276A99D61EF}" xr6:coauthVersionLast="47" xr6:coauthVersionMax="47" xr10:uidLastSave="{AD9F1B12-D30E-44BF-9385-E6C6FFAD5A3D}"/>
  <bookViews>
    <workbookView xWindow="-108" yWindow="-108" windowWidth="23256" windowHeight="12576" tabRatio="855" activeTab="1" xr2:uid="{DF001A7C-615D-42AE-B755-5541E67D42CA}"/>
  </bookViews>
  <sheets>
    <sheet name="Introduction" sheetId="28" r:id="rId1"/>
    <sheet name="Single Fan Template" sheetId="24" r:id="rId2"/>
    <sheet name="Sup-Ret Fan Template" sheetId="27" r:id="rId3"/>
    <sheet name="Complex System Template" sheetId="29" r:id="rId4"/>
    <sheet name="Complex System Template (2)" sheetId="30" r:id="rId5"/>
    <sheet name="constantsHP" sheetId="8" r:id="rId6"/>
  </sheets>
  <definedNames>
    <definedName name="_xlnm.Print_Area" localSheetId="5">constantsHP!$A$1:$AF$28</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24" l="1"/>
  <c r="F34" i="24"/>
  <c r="K35" i="24"/>
  <c r="K34" i="24"/>
  <c r="O58" i="27"/>
  <c r="O57" i="27"/>
  <c r="O56" i="27"/>
  <c r="O55" i="27"/>
  <c r="O54" i="27"/>
  <c r="B121" i="30" l="1"/>
  <c r="D114" i="30"/>
  <c r="D113" i="30"/>
  <c r="D112" i="30"/>
  <c r="D110" i="30"/>
  <c r="D93" i="30"/>
  <c r="D92" i="30"/>
  <c r="B100" i="30" s="1"/>
  <c r="D91" i="30"/>
  <c r="D89" i="30"/>
  <c r="O54" i="30"/>
  <c r="O53" i="30"/>
  <c r="O52" i="30"/>
  <c r="P53" i="30" s="1"/>
  <c r="P48" i="30"/>
  <c r="P47" i="30"/>
  <c r="Q47" i="30" s="1"/>
  <c r="O47" i="30"/>
  <c r="P46" i="30"/>
  <c r="O46" i="30"/>
  <c r="Q46" i="30" s="1"/>
  <c r="P45" i="30"/>
  <c r="O45" i="30"/>
  <c r="Q45" i="30" s="1"/>
  <c r="H45" i="30"/>
  <c r="F45" i="30"/>
  <c r="P44" i="30"/>
  <c r="F44" i="30"/>
  <c r="H44" i="30" s="1"/>
  <c r="P43" i="30"/>
  <c r="F43" i="30"/>
  <c r="H43" i="30" s="1"/>
  <c r="P42" i="30"/>
  <c r="H42" i="30"/>
  <c r="F42" i="30"/>
  <c r="P41" i="30"/>
  <c r="O41" i="30"/>
  <c r="Q41" i="30" s="1"/>
  <c r="H41" i="30"/>
  <c r="G41" i="30"/>
  <c r="F41" i="30"/>
  <c r="P40" i="30"/>
  <c r="O40" i="30"/>
  <c r="F40" i="30"/>
  <c r="H40" i="30" s="1"/>
  <c r="P39" i="30"/>
  <c r="O39" i="30"/>
  <c r="Q39" i="30" s="1"/>
  <c r="F39" i="30"/>
  <c r="H39" i="30" s="1"/>
  <c r="P38" i="30"/>
  <c r="O38" i="30"/>
  <c r="P49" i="30" s="1"/>
  <c r="H38" i="30"/>
  <c r="F38" i="30"/>
  <c r="F34" i="30"/>
  <c r="F35" i="30" s="1"/>
  <c r="J25" i="30"/>
  <c r="H24" i="30"/>
  <c r="O49" i="30" s="1"/>
  <c r="Q49" i="30" s="1"/>
  <c r="H23" i="30"/>
  <c r="O48" i="30" s="1"/>
  <c r="Q48" i="30" s="1"/>
  <c r="J22" i="30"/>
  <c r="J21" i="30"/>
  <c r="H20" i="30"/>
  <c r="H19" i="30"/>
  <c r="O44" i="30" s="1"/>
  <c r="Q44" i="30" s="1"/>
  <c r="H18" i="30"/>
  <c r="O43" i="30" s="1"/>
  <c r="Q43" i="30" s="1"/>
  <c r="H17" i="30"/>
  <c r="O42" i="30" s="1"/>
  <c r="Q42" i="30" s="1"/>
  <c r="J16" i="30"/>
  <c r="K44" i="24"/>
  <c r="F39" i="24"/>
  <c r="K36" i="24"/>
  <c r="J16" i="29"/>
  <c r="G16" i="27"/>
  <c r="K39" i="27"/>
  <c r="K38" i="27"/>
  <c r="K47" i="27"/>
  <c r="K46" i="27"/>
  <c r="K53" i="27"/>
  <c r="K54" i="27"/>
  <c r="K52" i="27"/>
  <c r="F43" i="27"/>
  <c r="F42" i="27"/>
  <c r="F41" i="27"/>
  <c r="F39" i="27"/>
  <c r="F40" i="27"/>
  <c r="F38" i="27"/>
  <c r="G24" i="27"/>
  <c r="K49" i="27" s="1"/>
  <c r="G23" i="27"/>
  <c r="K48" i="27" s="1"/>
  <c r="G20" i="27"/>
  <c r="G19" i="27"/>
  <c r="G18" i="27"/>
  <c r="G17" i="27"/>
  <c r="F44" i="27"/>
  <c r="K41" i="27"/>
  <c r="O54" i="29"/>
  <c r="O53" i="29"/>
  <c r="O52" i="29"/>
  <c r="O47" i="29"/>
  <c r="O46" i="29"/>
  <c r="O40" i="29"/>
  <c r="O39" i="29"/>
  <c r="O38" i="29"/>
  <c r="H17" i="29"/>
  <c r="O42" i="29" s="1"/>
  <c r="H19" i="29"/>
  <c r="O44" i="29" s="1"/>
  <c r="F44" i="29"/>
  <c r="F41" i="29"/>
  <c r="F42" i="29"/>
  <c r="H24" i="29"/>
  <c r="O49" i="29" s="1"/>
  <c r="H23" i="29"/>
  <c r="O48" i="29" s="1"/>
  <c r="F43" i="29"/>
  <c r="H18" i="29"/>
  <c r="O43" i="29" s="1"/>
  <c r="H20" i="29"/>
  <c r="F45" i="29" s="1"/>
  <c r="J25" i="29"/>
  <c r="J22" i="29"/>
  <c r="J21" i="29"/>
  <c r="O41" i="29"/>
  <c r="F39" i="29"/>
  <c r="F40" i="29"/>
  <c r="Q40" i="30" l="1"/>
  <c r="H46" i="30"/>
  <c r="Q53" i="30"/>
  <c r="P52" i="30"/>
  <c r="Q52" i="30" s="1"/>
  <c r="P54" i="30"/>
  <c r="Q54" i="30" s="1"/>
  <c r="Q38" i="30"/>
  <c r="Q50" i="30" s="1"/>
  <c r="O45" i="29"/>
  <c r="D114" i="29"/>
  <c r="D113" i="29"/>
  <c r="B121" i="29" s="1"/>
  <c r="D112" i="29"/>
  <c r="D110" i="29"/>
  <c r="D93" i="29"/>
  <c r="D92" i="29"/>
  <c r="B100" i="29" s="1"/>
  <c r="D91" i="29"/>
  <c r="D89" i="29"/>
  <c r="P47" i="29"/>
  <c r="P46" i="29"/>
  <c r="P45" i="29"/>
  <c r="H45" i="29"/>
  <c r="P44" i="29"/>
  <c r="P43" i="29"/>
  <c r="P42" i="29"/>
  <c r="P41" i="29"/>
  <c r="G41" i="29"/>
  <c r="P40" i="29"/>
  <c r="H40" i="29"/>
  <c r="P39" i="29"/>
  <c r="H39" i="29"/>
  <c r="P38" i="29"/>
  <c r="P48" i="29"/>
  <c r="F38" i="29"/>
  <c r="F34" i="29"/>
  <c r="F35" i="29" s="1"/>
  <c r="Q55" i="30" l="1"/>
  <c r="F54" i="30"/>
  <c r="G54" i="30"/>
  <c r="Q57" i="30"/>
  <c r="H38" i="29"/>
  <c r="H44" i="29"/>
  <c r="H43" i="29"/>
  <c r="Q40" i="29"/>
  <c r="Q44" i="29"/>
  <c r="Q38" i="29"/>
  <c r="Q43" i="29"/>
  <c r="P49" i="29"/>
  <c r="Q49" i="29" s="1"/>
  <c r="Q41" i="29"/>
  <c r="Q47" i="29"/>
  <c r="Q45" i="29"/>
  <c r="Q42" i="29"/>
  <c r="P53" i="29"/>
  <c r="Q39" i="29"/>
  <c r="Q46" i="29"/>
  <c r="Q48" i="29"/>
  <c r="H41" i="29"/>
  <c r="H42" i="29"/>
  <c r="G53" i="30" l="1" a="1"/>
  <c r="G53" i="30" s="1"/>
  <c r="D109" i="30"/>
  <c r="A121" i="30" s="1"/>
  <c r="C121" i="30" s="1"/>
  <c r="D88" i="30"/>
  <c r="A100" i="30" s="1"/>
  <c r="C100" i="30" s="1"/>
  <c r="F53" i="30" a="1"/>
  <c r="F53" i="30" s="1"/>
  <c r="D87" i="30" s="1"/>
  <c r="P52" i="29"/>
  <c r="Q52" i="29" s="1"/>
  <c r="Q50" i="29"/>
  <c r="Q53" i="29"/>
  <c r="H46" i="29"/>
  <c r="F54" i="29" s="1"/>
  <c r="G54" i="29" s="1"/>
  <c r="P54" i="29"/>
  <c r="Q54" i="29" s="1"/>
  <c r="J90" i="30" l="1"/>
  <c r="I90" i="30"/>
  <c r="G90" i="30"/>
  <c r="H90" i="30"/>
  <c r="L85" i="30"/>
  <c r="K85" i="30"/>
  <c r="K90" i="30"/>
  <c r="F90" i="30"/>
  <c r="J85" i="30"/>
  <c r="K89" i="30"/>
  <c r="I85" i="30"/>
  <c r="J89" i="30"/>
  <c r="H85" i="30"/>
  <c r="D94" i="30"/>
  <c r="I89" i="30"/>
  <c r="G100" i="30" s="1"/>
  <c r="G85" i="30"/>
  <c r="H89" i="30"/>
  <c r="F100" i="30" s="1"/>
  <c r="F85" i="30"/>
  <c r="D100" i="30" s="1"/>
  <c r="G89" i="30"/>
  <c r="E85" i="30"/>
  <c r="F89" i="30"/>
  <c r="E100" i="30"/>
  <c r="D108" i="30"/>
  <c r="E121" i="30" s="1"/>
  <c r="Q55" i="29"/>
  <c r="Q57" i="29" s="1"/>
  <c r="G53" i="29" a="1"/>
  <c r="G53" i="29" s="1"/>
  <c r="D109" i="29"/>
  <c r="A121" i="29" s="1"/>
  <c r="C121" i="29" s="1"/>
  <c r="D88" i="29"/>
  <c r="A100" i="29" s="1"/>
  <c r="C100" i="29" s="1"/>
  <c r="F53" i="29" a="1"/>
  <c r="F53" i="29" s="1"/>
  <c r="D87" i="29" s="1"/>
  <c r="H100" i="30" l="1"/>
  <c r="I100" i="30" s="1"/>
  <c r="H95" i="30"/>
  <c r="G95" i="30"/>
  <c r="F95" i="30"/>
  <c r="I94" i="30"/>
  <c r="H94" i="30"/>
  <c r="G94" i="30"/>
  <c r="F94" i="30"/>
  <c r="I95" i="30"/>
  <c r="K110" i="30"/>
  <c r="I106" i="30"/>
  <c r="J110" i="30"/>
  <c r="H106" i="30"/>
  <c r="F106" i="30"/>
  <c r="D121" i="30" s="1"/>
  <c r="D115" i="30"/>
  <c r="I110" i="30"/>
  <c r="G121" i="30" s="1"/>
  <c r="G106" i="30"/>
  <c r="H110" i="30"/>
  <c r="F121" i="30" s="1"/>
  <c r="H121" i="30" s="1"/>
  <c r="G110" i="30"/>
  <c r="E106" i="30"/>
  <c r="J106" i="30"/>
  <c r="F110" i="30"/>
  <c r="K111" i="30"/>
  <c r="J111" i="30"/>
  <c r="G111" i="30"/>
  <c r="I111" i="30"/>
  <c r="F111" i="30"/>
  <c r="H111" i="30"/>
  <c r="L106" i="30"/>
  <c r="K106" i="30"/>
  <c r="E100" i="29"/>
  <c r="D108" i="29"/>
  <c r="E121" i="29" s="1"/>
  <c r="J90" i="29"/>
  <c r="I90" i="29"/>
  <c r="H90" i="29"/>
  <c r="L85" i="29"/>
  <c r="F89" i="29"/>
  <c r="G90" i="29"/>
  <c r="K85" i="29"/>
  <c r="F90" i="29"/>
  <c r="J85" i="29"/>
  <c r="K89" i="29"/>
  <c r="I85" i="29"/>
  <c r="J89" i="29"/>
  <c r="H85" i="29"/>
  <c r="D94" i="29"/>
  <c r="I89" i="29"/>
  <c r="G100" i="29" s="1"/>
  <c r="G85" i="29"/>
  <c r="H89" i="29"/>
  <c r="F100" i="29" s="1"/>
  <c r="F85" i="29"/>
  <c r="D100" i="29" s="1"/>
  <c r="G89" i="29"/>
  <c r="E85" i="29"/>
  <c r="K90" i="29"/>
  <c r="I121" i="30" l="1"/>
  <c r="F96" i="30"/>
  <c r="I96" i="30"/>
  <c r="H96" i="30"/>
  <c r="G96" i="30"/>
  <c r="J100" i="30"/>
  <c r="G115" i="30"/>
  <c r="F115" i="30"/>
  <c r="F117" i="30" s="1"/>
  <c r="H115" i="30"/>
  <c r="I116" i="30"/>
  <c r="H116" i="30"/>
  <c r="G116" i="30"/>
  <c r="F116" i="30"/>
  <c r="I115" i="30"/>
  <c r="J121" i="30"/>
  <c r="H100" i="29"/>
  <c r="I100" i="29" s="1"/>
  <c r="H95" i="29"/>
  <c r="G95" i="29"/>
  <c r="F95" i="29"/>
  <c r="I94" i="29"/>
  <c r="H94" i="29"/>
  <c r="G94" i="29"/>
  <c r="F94" i="29"/>
  <c r="I95" i="29"/>
  <c r="K110" i="29"/>
  <c r="I106" i="29"/>
  <c r="J110" i="29"/>
  <c r="H106" i="29"/>
  <c r="D115" i="29"/>
  <c r="I110" i="29"/>
  <c r="G121" i="29" s="1"/>
  <c r="G106" i="29"/>
  <c r="H110" i="29"/>
  <c r="F121" i="29" s="1"/>
  <c r="F106" i="29"/>
  <c r="D121" i="29" s="1"/>
  <c r="G110" i="29"/>
  <c r="E106" i="29"/>
  <c r="F110" i="29"/>
  <c r="K111" i="29"/>
  <c r="J111" i="29"/>
  <c r="I111" i="29"/>
  <c r="G111" i="29"/>
  <c r="K106" i="29"/>
  <c r="H111" i="29"/>
  <c r="L106" i="29"/>
  <c r="F111" i="29"/>
  <c r="J106" i="29"/>
  <c r="H117" i="30" l="1"/>
  <c r="I117" i="30"/>
  <c r="G117" i="30"/>
  <c r="K100" i="30"/>
  <c r="L100" i="30" s="1"/>
  <c r="M100" i="30" s="1"/>
  <c r="F58" i="30" s="1"/>
  <c r="F96" i="29"/>
  <c r="H96" i="29" s="1"/>
  <c r="G115" i="29"/>
  <c r="F115" i="29"/>
  <c r="I116" i="29"/>
  <c r="H116" i="29"/>
  <c r="G116" i="29"/>
  <c r="I115" i="29"/>
  <c r="F116" i="29"/>
  <c r="H115" i="29"/>
  <c r="H121" i="29"/>
  <c r="I121" i="29" s="1"/>
  <c r="J100" i="29"/>
  <c r="F59" i="30" l="1"/>
  <c r="N100" i="30"/>
  <c r="F57" i="30" s="1"/>
  <c r="K121" i="30"/>
  <c r="L121" i="30" s="1"/>
  <c r="I96" i="29"/>
  <c r="G96" i="29"/>
  <c r="F117" i="29"/>
  <c r="I117" i="29" s="1"/>
  <c r="J121" i="29"/>
  <c r="M121" i="30" l="1"/>
  <c r="G58" i="30" s="1"/>
  <c r="N121" i="30"/>
  <c r="G57" i="30" s="1"/>
  <c r="K100" i="29"/>
  <c r="L100" i="29" s="1"/>
  <c r="N100" i="29" s="1"/>
  <c r="F57" i="29" s="1"/>
  <c r="G117" i="29"/>
  <c r="H117" i="29"/>
  <c r="G59" i="30" l="1"/>
  <c r="Q58" i="30"/>
  <c r="Q59" i="30" s="1"/>
  <c r="M100" i="29"/>
  <c r="F58" i="29" s="1"/>
  <c r="F59" i="29" s="1"/>
  <c r="K121" i="29"/>
  <c r="L121" i="29" s="1"/>
  <c r="N121" i="29" s="1"/>
  <c r="G57" i="29" s="1"/>
  <c r="M121" i="29" l="1"/>
  <c r="G58" i="29" s="1"/>
  <c r="G59" i="29" s="1"/>
  <c r="Q58" i="29" l="1"/>
  <c r="Q59" i="29" s="1"/>
  <c r="H26" i="28" l="1"/>
  <c r="H27" i="28"/>
  <c r="H28" i="28"/>
  <c r="H29" i="28"/>
  <c r="H34" i="24"/>
  <c r="H39" i="27"/>
  <c r="F29" i="24"/>
  <c r="F34" i="27"/>
  <c r="F35" i="27" s="1"/>
  <c r="L48" i="27"/>
  <c r="L47" i="27"/>
  <c r="L46" i="27"/>
  <c r="L45" i="27"/>
  <c r="L44" i="27"/>
  <c r="L43" i="27"/>
  <c r="L42" i="27"/>
  <c r="L41" i="27"/>
  <c r="L40" i="27"/>
  <c r="L39" i="27"/>
  <c r="L38" i="27"/>
  <c r="L42" i="24"/>
  <c r="L41" i="24"/>
  <c r="L40" i="24"/>
  <c r="L39" i="24"/>
  <c r="L38" i="24"/>
  <c r="L37" i="24"/>
  <c r="L36" i="24"/>
  <c r="L35" i="24"/>
  <c r="L34" i="24"/>
  <c r="L33" i="24"/>
  <c r="D114" i="27"/>
  <c r="D113" i="27"/>
  <c r="D112" i="27"/>
  <c r="D110" i="27"/>
  <c r="D93" i="27"/>
  <c r="D92" i="27"/>
  <c r="D91" i="27"/>
  <c r="D89" i="27"/>
  <c r="K45" i="27"/>
  <c r="F45" i="27"/>
  <c r="H45" i="27" s="1"/>
  <c r="K44" i="27"/>
  <c r="H44" i="27"/>
  <c r="K43" i="27"/>
  <c r="H43" i="27"/>
  <c r="K42" i="27"/>
  <c r="G41" i="27"/>
  <c r="H41" i="27"/>
  <c r="K40" i="27"/>
  <c r="H40" i="27"/>
  <c r="L49" i="27"/>
  <c r="H38" i="27"/>
  <c r="H42" i="27"/>
  <c r="K49" i="24"/>
  <c r="K47" i="24"/>
  <c r="L49" i="24" s="1"/>
  <c r="K48" i="24"/>
  <c r="G36" i="24"/>
  <c r="M48" i="27" l="1"/>
  <c r="L47" i="24"/>
  <c r="L48" i="24"/>
  <c r="M45" i="27"/>
  <c r="M41" i="27"/>
  <c r="M39" i="27"/>
  <c r="M40" i="27"/>
  <c r="M43" i="27"/>
  <c r="M46" i="27"/>
  <c r="M42" i="27"/>
  <c r="H46" i="27"/>
  <c r="F54" i="27" s="1"/>
  <c r="G54" i="27" s="1"/>
  <c r="M47" i="27"/>
  <c r="M44" i="27"/>
  <c r="M49" i="27"/>
  <c r="M38" i="27"/>
  <c r="K43" i="24"/>
  <c r="K42" i="24"/>
  <c r="K41" i="24"/>
  <c r="K40" i="24"/>
  <c r="K39" i="24"/>
  <c r="K38" i="24"/>
  <c r="K37" i="24"/>
  <c r="F40" i="24"/>
  <c r="F38" i="24"/>
  <c r="F37" i="24"/>
  <c r="F36" i="24"/>
  <c r="L52" i="27" l="1"/>
  <c r="M52" i="27" s="1"/>
  <c r="L53" i="27"/>
  <c r="M53" i="27" s="1"/>
  <c r="L54" i="27"/>
  <c r="M54" i="27" s="1"/>
  <c r="G53" i="27" a="1"/>
  <c r="G53" i="27" s="1"/>
  <c r="D109" i="27"/>
  <c r="A121" i="27" s="1"/>
  <c r="M50" i="27"/>
  <c r="D88" i="27"/>
  <c r="A100" i="27" s="1"/>
  <c r="F53" i="27" a="1"/>
  <c r="F53" i="27" s="1"/>
  <c r="D87" i="27" s="1"/>
  <c r="H35" i="24"/>
  <c r="D88" i="24"/>
  <c r="D87" i="24"/>
  <c r="D86" i="24"/>
  <c r="D84" i="24"/>
  <c r="H40" i="24"/>
  <c r="H39" i="24"/>
  <c r="H38" i="24"/>
  <c r="H37" i="24"/>
  <c r="H36" i="24"/>
  <c r="F33" i="24"/>
  <c r="H33" i="24" s="1"/>
  <c r="F30" i="24"/>
  <c r="K33" i="24"/>
  <c r="F24" i="28"/>
  <c r="F25" i="28"/>
  <c r="B100" i="27" l="1"/>
  <c r="C100" i="27" s="1"/>
  <c r="E100" i="27" s="1"/>
  <c r="B121" i="27"/>
  <c r="C121" i="27" s="1"/>
  <c r="M39" i="24"/>
  <c r="L43" i="24"/>
  <c r="M43" i="24" s="1"/>
  <c r="L44" i="24"/>
  <c r="M44" i="24" s="1"/>
  <c r="M55" i="27"/>
  <c r="M57" i="27" s="1"/>
  <c r="M63" i="27" s="1"/>
  <c r="M64" i="27" s="1"/>
  <c r="J90" i="27"/>
  <c r="F90" i="27"/>
  <c r="H89" i="27"/>
  <c r="F100" i="27" s="1"/>
  <c r="J85" i="27"/>
  <c r="F85" i="27"/>
  <c r="I89" i="27"/>
  <c r="G100" i="27" s="1"/>
  <c r="I90" i="27"/>
  <c r="K89" i="27"/>
  <c r="G89" i="27"/>
  <c r="I85" i="27"/>
  <c r="E85" i="27"/>
  <c r="K90" i="27"/>
  <c r="H90" i="27"/>
  <c r="J89" i="27"/>
  <c r="F89" i="27"/>
  <c r="L85" i="27"/>
  <c r="H85" i="27"/>
  <c r="D94" i="27"/>
  <c r="G90" i="27"/>
  <c r="K85" i="27"/>
  <c r="G85" i="27"/>
  <c r="D108" i="27"/>
  <c r="H41" i="24"/>
  <c r="F48" i="24" s="1" a="1"/>
  <c r="F48" i="24" s="1"/>
  <c r="M35" i="24"/>
  <c r="M38" i="24"/>
  <c r="M41" i="24"/>
  <c r="M40" i="24"/>
  <c r="M33" i="24"/>
  <c r="M42" i="24"/>
  <c r="M48" i="24"/>
  <c r="M36" i="24"/>
  <c r="G25" i="28" l="1"/>
  <c r="G24" i="28"/>
  <c r="D100" i="27"/>
  <c r="H100" i="27"/>
  <c r="I111" i="27"/>
  <c r="K110" i="27"/>
  <c r="G110" i="27"/>
  <c r="I106" i="27"/>
  <c r="E106" i="27"/>
  <c r="F111" i="27"/>
  <c r="H111" i="27"/>
  <c r="J110" i="27"/>
  <c r="F110" i="27"/>
  <c r="L106" i="27"/>
  <c r="H106" i="27"/>
  <c r="J111" i="27"/>
  <c r="F106" i="27"/>
  <c r="D115" i="27"/>
  <c r="K111" i="27"/>
  <c r="G111" i="27"/>
  <c r="I110" i="27"/>
  <c r="G121" i="27" s="1"/>
  <c r="K106" i="27"/>
  <c r="G106" i="27"/>
  <c r="H110" i="27"/>
  <c r="F121" i="27" s="1"/>
  <c r="J106" i="27"/>
  <c r="H95" i="27"/>
  <c r="H94" i="27"/>
  <c r="G95" i="27"/>
  <c r="G94" i="27"/>
  <c r="I94" i="27"/>
  <c r="F95" i="27"/>
  <c r="F94" i="27"/>
  <c r="I95" i="27"/>
  <c r="E121" i="27"/>
  <c r="F49" i="24"/>
  <c r="D83" i="24" s="1"/>
  <c r="A95" i="24" s="1"/>
  <c r="B95" i="24" s="1"/>
  <c r="D82" i="24"/>
  <c r="M34" i="24"/>
  <c r="M47" i="24"/>
  <c r="M49" i="24"/>
  <c r="M37" i="24"/>
  <c r="I100" i="27" l="1"/>
  <c r="J100" i="27" s="1"/>
  <c r="D121" i="27"/>
  <c r="F96" i="27"/>
  <c r="H96" i="27" s="1"/>
  <c r="G116" i="27"/>
  <c r="G115" i="27"/>
  <c r="F116" i="27"/>
  <c r="F115" i="27"/>
  <c r="H115" i="27"/>
  <c r="I116" i="27"/>
  <c r="I115" i="27"/>
  <c r="H116" i="27"/>
  <c r="H121" i="27"/>
  <c r="C95" i="24"/>
  <c r="E95" i="24" s="1"/>
  <c r="M50" i="24"/>
  <c r="J85" i="24"/>
  <c r="H80" i="24"/>
  <c r="E80" i="24"/>
  <c r="F80" i="24"/>
  <c r="I85" i="24"/>
  <c r="F84" i="24"/>
  <c r="J80" i="24"/>
  <c r="G80" i="24"/>
  <c r="L80" i="24"/>
  <c r="I84" i="24"/>
  <c r="I80" i="24"/>
  <c r="D89" i="24"/>
  <c r="K85" i="24"/>
  <c r="K80" i="24"/>
  <c r="G85" i="24"/>
  <c r="H84" i="24"/>
  <c r="H85" i="24"/>
  <c r="K84" i="24"/>
  <c r="G84" i="24"/>
  <c r="J84" i="24"/>
  <c r="F85" i="24"/>
  <c r="M45" i="24"/>
  <c r="I96" i="27" l="1"/>
  <c r="G96" i="27"/>
  <c r="I121" i="27"/>
  <c r="J121" i="27" s="1"/>
  <c r="F117" i="27"/>
  <c r="H117" i="27" s="1"/>
  <c r="M52" i="24"/>
  <c r="F95" i="24"/>
  <c r="H90" i="24"/>
  <c r="G90" i="24"/>
  <c r="H89" i="24"/>
  <c r="G89" i="24"/>
  <c r="F90" i="24"/>
  <c r="I90" i="24"/>
  <c r="F89" i="24"/>
  <c r="I89" i="24"/>
  <c r="D95" i="24"/>
  <c r="G95" i="24"/>
  <c r="I24" i="28"/>
  <c r="I25" i="28"/>
  <c r="K100" i="27" l="1"/>
  <c r="L100" i="27" s="1"/>
  <c r="N100" i="27" s="1"/>
  <c r="F57" i="27" s="1"/>
  <c r="I117" i="27"/>
  <c r="G117" i="27"/>
  <c r="H95" i="24"/>
  <c r="I95" i="24" s="1"/>
  <c r="J95" i="24" s="1"/>
  <c r="F91" i="24"/>
  <c r="K121" i="27" l="1"/>
  <c r="L121" i="27" s="1"/>
  <c r="N121" i="27" s="1"/>
  <c r="G57" i="27" s="1"/>
  <c r="M100" i="27"/>
  <c r="F58" i="27" s="1"/>
  <c r="F59" i="27" s="1"/>
  <c r="G91" i="24"/>
  <c r="H91" i="24"/>
  <c r="I91" i="24"/>
  <c r="H24" i="28" l="1"/>
  <c r="J24" i="28" s="1"/>
  <c r="M121" i="27"/>
  <c r="G58" i="27" s="1"/>
  <c r="M58" i="27" s="1"/>
  <c r="M59" i="27" s="1"/>
  <c r="K95" i="24"/>
  <c r="L95" i="24" s="1"/>
  <c r="M95" i="24" s="1"/>
  <c r="F53" i="24" s="1"/>
  <c r="H25" i="28" l="1"/>
  <c r="J25" i="28" s="1"/>
  <c r="G59" i="27"/>
  <c r="N95" i="24"/>
  <c r="F52" i="24" s="1"/>
  <c r="M53" i="24"/>
  <c r="M54" i="24" s="1"/>
  <c r="F54" i="24"/>
  <c r="F29" i="28" l="1"/>
  <c r="F27" i="28"/>
  <c r="F28" i="28"/>
  <c r="F26" i="28"/>
  <c r="F21" i="28"/>
  <c r="F20" i="28"/>
  <c r="F23" i="28"/>
  <c r="F22" i="28"/>
  <c r="T28" i="8"/>
  <c r="S28" i="8"/>
  <c r="T27" i="8"/>
  <c r="S27" i="8"/>
  <c r="T26" i="8"/>
  <c r="S26" i="8"/>
  <c r="T25" i="8"/>
  <c r="S25" i="8"/>
  <c r="T24" i="8"/>
  <c r="S24" i="8"/>
  <c r="T23" i="8"/>
  <c r="S23" i="8"/>
  <c r="T22" i="8"/>
  <c r="S22" i="8"/>
  <c r="T21" i="8"/>
  <c r="S21" i="8"/>
  <c r="T20" i="8"/>
  <c r="S20" i="8"/>
  <c r="AG19" i="8"/>
  <c r="T19" i="8"/>
  <c r="S19" i="8"/>
  <c r="AG18" i="8"/>
  <c r="T18" i="8"/>
  <c r="S18" i="8"/>
  <c r="T17" i="8"/>
  <c r="S17" i="8"/>
  <c r="T16" i="8"/>
  <c r="S16" i="8"/>
  <c r="T15" i="8"/>
  <c r="S15" i="8"/>
  <c r="T14" i="8"/>
  <c r="S14" i="8"/>
  <c r="T13" i="8"/>
  <c r="S13" i="8"/>
  <c r="T12" i="8"/>
  <c r="S12" i="8"/>
  <c r="T11" i="8"/>
  <c r="S11" i="8"/>
  <c r="T10" i="8"/>
  <c r="S10" i="8"/>
  <c r="T9" i="8"/>
  <c r="S9" i="8"/>
  <c r="T8" i="8"/>
  <c r="S8" i="8"/>
  <c r="T7" i="8"/>
  <c r="S7" i="8"/>
  <c r="T6" i="8"/>
  <c r="S6" i="8"/>
  <c r="T5" i="8"/>
  <c r="S5" i="8"/>
  <c r="S4" i="8"/>
  <c r="F19" i="28"/>
  <c r="G27" i="28" l="1"/>
  <c r="G29" i="28"/>
  <c r="G28" i="28"/>
  <c r="G22" i="28" l="1"/>
  <c r="G21" i="28"/>
  <c r="G23" i="28"/>
  <c r="G19" i="28"/>
  <c r="G26" i="28"/>
  <c r="G20" i="28"/>
  <c r="I26" i="28"/>
  <c r="J26" i="28" s="1"/>
  <c r="I28" i="28"/>
  <c r="J28" i="28" s="1"/>
  <c r="I27" i="28"/>
  <c r="J27" i="28" s="1"/>
  <c r="I20" i="28" l="1"/>
  <c r="I23" i="28"/>
  <c r="I29" i="28"/>
  <c r="J29" i="28" s="1"/>
  <c r="I22" i="28" l="1"/>
  <c r="I19" i="28"/>
  <c r="I21" i="28"/>
  <c r="H19" i="28" l="1"/>
  <c r="J19" i="28" s="1"/>
  <c r="H23" i="28" l="1"/>
  <c r="J23" i="28" s="1"/>
  <c r="H22" i="28" l="1"/>
  <c r="J22" i="28" s="1"/>
  <c r="H21" i="28"/>
  <c r="J21" i="28" s="1"/>
  <c r="H20" i="28"/>
  <c r="J20" i="2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<sst xmlns="http://schemas.openxmlformats.org/spreadsheetml/2006/main" count="1088" uniqueCount="213">
  <si>
    <t>Fan Power Limit Examples and Tool</t>
  </si>
  <si>
    <t>version 1</t>
  </si>
  <si>
    <t>John Bade, 2050 Partners</t>
  </si>
  <si>
    <t>johnbade@2050partners.com</t>
  </si>
  <si>
    <t>Bryan Boyce, Energy Solutions</t>
  </si>
  <si>
    <t>bboyce@energy-solution.com</t>
  </si>
  <si>
    <t xml:space="preserve">Following the three template worksheets, there are a number of completed examples for a variety of fan system types and airflow levels. Stakeholders can easily view a side-by-side comparison for these worked examples. A summary table for these examples is also shown below. </t>
  </si>
  <si>
    <t>Summary of Examples</t>
  </si>
  <si>
    <t>No.</t>
  </si>
  <si>
    <t>Fan System Type</t>
  </si>
  <si>
    <t>Airflow Control</t>
  </si>
  <si>
    <t>Airflow (cfm)</t>
  </si>
  <si>
    <t>90.1-2019</t>
  </si>
  <si>
    <t>Proposed</t>
  </si>
  <si>
    <t>Percent Change between BHP method &amp; proposed method</t>
  </si>
  <si>
    <t>Motor HP Method Result</t>
  </si>
  <si>
    <t>BHP Method Result</t>
  </si>
  <si>
    <t>BHP Method Result (est. input kW)</t>
  </si>
  <si>
    <t>Proposed Result (kW)</t>
  </si>
  <si>
    <t>Single Fan, recirculating</t>
  </si>
  <si>
    <t>MZ-VAV</t>
  </si>
  <si>
    <t>CAV</t>
  </si>
  <si>
    <t>SZ-VAV</t>
  </si>
  <si>
    <t>ERV-recirculating</t>
  </si>
  <si>
    <t>Supply and Return</t>
  </si>
  <si>
    <t>System Attributes</t>
  </si>
  <si>
    <t>Key:</t>
  </si>
  <si>
    <t>Description:</t>
  </si>
  <si>
    <t>Single fan, recirculating</t>
  </si>
  <si>
    <t>Input</t>
  </si>
  <si>
    <t>CAV/SZ-VAV/MZ-VAV:</t>
  </si>
  <si>
    <t>Calculation</t>
  </si>
  <si>
    <t>Calculation Method:</t>
  </si>
  <si>
    <t>Single-cabinet fan</t>
  </si>
  <si>
    <t>Hard-coded value</t>
  </si>
  <si>
    <t>Supply</t>
  </si>
  <si>
    <t>Output</t>
  </si>
  <si>
    <t>Variable Speed Drive (Yes/No)</t>
  </si>
  <si>
    <t>No</t>
  </si>
  <si>
    <t>Transmission (Direct/V-belt):</t>
  </si>
  <si>
    <t>V-Belt</t>
  </si>
  <si>
    <t>Airflow (cfm):</t>
  </si>
  <si>
    <t>S2. Filter:</t>
  </si>
  <si>
    <t>MERV 8 or less</t>
  </si>
  <si>
    <t>S3. Cooling or Heat Pump Coil:</t>
  </si>
  <si>
    <t>Yes</t>
  </si>
  <si>
    <t>S5. Economizer Return Damper</t>
  </si>
  <si>
    <t>S4. Heating Coil:</t>
  </si>
  <si>
    <t>S7. Hot Gas Reheat Coil</t>
  </si>
  <si>
    <t>S4. Gas Furnace:</t>
  </si>
  <si>
    <t>S8. 50% Turndown (Single-Zone VAV only)</t>
  </si>
  <si>
    <t>S4. Electric Resistance Heat:</t>
  </si>
  <si>
    <t>ER2. Filter, any MERV value, in  the return airstream</t>
  </si>
  <si>
    <t>S6. Energy Recovery Ventilator:</t>
  </si>
  <si>
    <t>Results of Fan Power Limit Based on Method:</t>
  </si>
  <si>
    <t>90.1-2019 Methods:</t>
  </si>
  <si>
    <t>Proposed Method:</t>
  </si>
  <si>
    <t>Motor Nameplate Method, max hp</t>
  </si>
  <si>
    <t>Resulting maximum standard motor size, hp</t>
  </si>
  <si>
    <t>Brake Horsepower Method</t>
  </si>
  <si>
    <t>Airflow
(cfm)</t>
  </si>
  <si>
    <t>Additional Pressure Loss
(in. wc)</t>
  </si>
  <si>
    <t>Allowed Brake Horsepower</t>
  </si>
  <si>
    <t>Calculation per the proposed Fan Power Limits:</t>
  </si>
  <si>
    <t>Airflow</t>
  </si>
  <si>
    <t>Allowed w/cfm</t>
  </si>
  <si>
    <t>Fan Power Allowance (kW)</t>
  </si>
  <si>
    <t>Base Allowance:</t>
  </si>
  <si>
    <t>N/A</t>
  </si>
  <si>
    <t>S1. Supply Base Allowance:</t>
  </si>
  <si>
    <t>MERV 9-12 Filter:</t>
  </si>
  <si>
    <t>S2. Up to MERV 12 Filter:</t>
  </si>
  <si>
    <t>Multi-Zone VAV System airflow (cfm)</t>
  </si>
  <si>
    <t>Constant Volume/Single-zone VAV airflow (cfm)</t>
  </si>
  <si>
    <t>MERV 13 or greater filter:</t>
  </si>
  <si>
    <t>S2. MERV 13 to 16 Filter:</t>
  </si>
  <si>
    <t>Air System Component</t>
  </si>
  <si>
    <t xml:space="preserve"> &gt;10,000</t>
  </si>
  <si>
    <r>
      <t xml:space="preserve">&gt;5,000 and </t>
    </r>
    <r>
      <rPr>
        <sz val="11"/>
        <color theme="1"/>
        <rFont val="Calibri"/>
        <family val="2"/>
      </rPr>
      <t>≤</t>
    </r>
    <r>
      <rPr>
        <sz val="11"/>
        <color theme="1"/>
        <rFont val="Calibri"/>
        <family val="2"/>
        <scheme val="minor"/>
      </rPr>
      <t>10,000</t>
    </r>
  </si>
  <si>
    <r>
      <rPr>
        <sz val="11"/>
        <color theme="1"/>
        <rFont val="Calibri"/>
        <family val="2"/>
      </rPr>
      <t>≤</t>
    </r>
    <r>
      <rPr>
        <sz val="11"/>
        <color theme="1"/>
        <rFont val="Calibri"/>
        <family val="2"/>
        <scheme val="minor"/>
      </rPr>
      <t>5,000</t>
    </r>
  </si>
  <si>
    <t>Energy Recovery Supply Airstream:</t>
  </si>
  <si>
    <t>S2. MERV 13-16 Filter Downstream of Cooling Coil:</t>
  </si>
  <si>
    <t>Energy Recovery Exhaust Airstream:</t>
  </si>
  <si>
    <t>Supply System Base Allowance for air handler serving floor ≤6 floors away.</t>
  </si>
  <si>
    <t>Deduction for no Central Cooling Device:</t>
  </si>
  <si>
    <t>Filter MERV 12 or less</t>
  </si>
  <si>
    <t>Deduction for no Central Heating Device:</t>
  </si>
  <si>
    <t xml:space="preserve">S4. Gas Furnace: </t>
  </si>
  <si>
    <t>MERV 13 to MERV 16 Filter (mid-life)</t>
  </si>
  <si>
    <t>Deduction for Electric Resistance Heat:</t>
  </si>
  <si>
    <t>MERV 13 to MERV 16 Final filter located downstream of thermal conditioning equipment. (mid-life)</t>
  </si>
  <si>
    <t>TOTAL:</t>
  </si>
  <si>
    <t>S5. Economizer Return Damper:</t>
  </si>
  <si>
    <t>Hydronic/DX cooling coil, or heat pump coil (wet) [Healthcare facilities can select twice]</t>
  </si>
  <si>
    <t>S6. Energy Recovery (ERR=62.5%)</t>
  </si>
  <si>
    <t>Hydronic heating coil (central)</t>
  </si>
  <si>
    <t>S7. Hot Gas Reheat Coil:</t>
  </si>
  <si>
    <t>Gas heat</t>
  </si>
  <si>
    <t>S8. 50% Turndown Single-Zone VAV:</t>
  </si>
  <si>
    <t>Electric heat</t>
  </si>
  <si>
    <t>supply side power allowance (kW)</t>
  </si>
  <si>
    <t>Economizer return damper</t>
  </si>
  <si>
    <t>Supply Fan</t>
  </si>
  <si>
    <t>Enthalpy Recovery Ratio ≥ 0.60 and &lt;0.65)</t>
  </si>
  <si>
    <t>Upsize Motor?</t>
  </si>
  <si>
    <t>ER1. Exhaust/Return/Relief Base Allowance:</t>
  </si>
  <si>
    <t>Reheat coil for dehumidification</t>
  </si>
  <si>
    <t>Assumed Motor Nameplate Size:</t>
  </si>
  <si>
    <t>ER2. Filter, any MERV value, in  the return airstream:</t>
  </si>
  <si>
    <t>Low-turndown single-zone VAV fan systems meeting the requirements in note 4.</t>
  </si>
  <si>
    <t>Brake horsepower:</t>
  </si>
  <si>
    <t>ER3. Energy Recovery (ERR=62.5%):</t>
  </si>
  <si>
    <t>ODP/TEFC</t>
  </si>
  <si>
    <t>ODP</t>
  </si>
  <si>
    <t>return/exhaust side power allowance</t>
  </si>
  <si>
    <t>Number of Poles</t>
  </si>
  <si>
    <t>Exhaust System Base Allowance</t>
  </si>
  <si>
    <t>Wire-to-Shaft effciency per AMCA 207:</t>
  </si>
  <si>
    <t>Proposed Method Total Supply and Exhaust/Return (kW):</t>
  </si>
  <si>
    <t>Filter (any MERV value)</t>
  </si>
  <si>
    <t>Fan electical power (kW):</t>
  </si>
  <si>
    <t>Estimated allowance per current requirements (kW):</t>
  </si>
  <si>
    <t>Watts per cfm (W):</t>
  </si>
  <si>
    <t>Reduction from estimated current allowance:</t>
  </si>
  <si>
    <t>Motor Efficiency Calculations</t>
  </si>
  <si>
    <t>Lookups</t>
  </si>
  <si>
    <r>
      <t>η</t>
    </r>
    <r>
      <rPr>
        <b/>
        <vertAlign val="subscript"/>
        <sz val="11"/>
        <color theme="1"/>
        <rFont val="Calibri"/>
        <family val="2"/>
      </rPr>
      <t>R</t>
    </r>
  </si>
  <si>
    <t>Voltage</t>
  </si>
  <si>
    <t>Motor Type</t>
  </si>
  <si>
    <t>Tansmission</t>
  </si>
  <si>
    <t>M Poles</t>
  </si>
  <si>
    <t>Qty</t>
  </si>
  <si>
    <t>Qty M/F</t>
  </si>
  <si>
    <t>Num MP</t>
  </si>
  <si>
    <t>VFD current or HP</t>
  </si>
  <si>
    <t>FEI Pressure Basis</t>
  </si>
  <si>
    <t>System Type</t>
  </si>
  <si>
    <t>Yes/No</t>
  </si>
  <si>
    <t>MERV Value</t>
  </si>
  <si>
    <t>TEFC</t>
  </si>
  <si>
    <t>Direct</t>
  </si>
  <si>
    <t>HP</t>
  </si>
  <si>
    <t>Static</t>
  </si>
  <si>
    <t>Fan System 1</t>
  </si>
  <si>
    <t xml:space="preserve">2 POLE </t>
  </si>
  <si>
    <t xml:space="preserve">4 POLE </t>
  </si>
  <si>
    <t xml:space="preserve">6 POLE </t>
  </si>
  <si>
    <t xml:space="preserve">8 POLE </t>
  </si>
  <si>
    <t>8 POLE</t>
  </si>
  <si>
    <t>Current (A)</t>
  </si>
  <si>
    <t>Total</t>
  </si>
  <si>
    <t>MERV 9-12</t>
  </si>
  <si>
    <t>Synchronous Belt</t>
  </si>
  <si>
    <t>MERV 13-16</t>
  </si>
  <si>
    <t>Quantity of Motors</t>
  </si>
  <si>
    <t>Coupling</t>
  </si>
  <si>
    <t>MERV 13-16 Downstream</t>
  </si>
  <si>
    <t>Motor Namplate Horsepower</t>
  </si>
  <si>
    <t>Motor Factors</t>
  </si>
  <si>
    <t>2 POLE</t>
  </si>
  <si>
    <t xml:space="preserve"> 4 POLE </t>
  </si>
  <si>
    <t>6 &amp; 8 POLE</t>
  </si>
  <si>
    <t>Brake HP of 1 fan at design airflow</t>
  </si>
  <si>
    <t>a</t>
  </si>
  <si>
    <t>b</t>
  </si>
  <si>
    <t>ODP or TEFC</t>
  </si>
  <si>
    <t>With VFD</t>
  </si>
  <si>
    <t>DOL</t>
  </si>
  <si>
    <t>Number of Motor Poles</t>
  </si>
  <si>
    <t>Transmission</t>
  </si>
  <si>
    <t>VFD Factors</t>
  </si>
  <si>
    <t>Quantity of VFD's</t>
  </si>
  <si>
    <t>d</t>
  </si>
  <si>
    <t>e</t>
  </si>
  <si>
    <t>f</t>
  </si>
  <si>
    <t>Size of VFD's</t>
  </si>
  <si>
    <t>Below</t>
  </si>
  <si>
    <t>Above</t>
  </si>
  <si>
    <t>Linear interpol.</t>
  </si>
  <si>
    <t>BHP</t>
  </si>
  <si>
    <r>
      <t>Belt Efficiency η</t>
    </r>
    <r>
      <rPr>
        <b/>
        <vertAlign val="subscript"/>
        <sz val="11"/>
        <color theme="1"/>
        <rFont val="Calibri"/>
        <family val="2"/>
      </rPr>
      <t>b</t>
    </r>
  </si>
  <si>
    <r>
      <t>Motor Shaft Power (HP)
 H</t>
    </r>
    <r>
      <rPr>
        <b/>
        <vertAlign val="subscript"/>
        <sz val="11"/>
        <color theme="1"/>
        <rFont val="Calibri"/>
        <family val="2"/>
        <scheme val="minor"/>
      </rPr>
      <t>m</t>
    </r>
  </si>
  <si>
    <r>
      <t>L</t>
    </r>
    <r>
      <rPr>
        <b/>
        <vertAlign val="subscript"/>
        <sz val="11"/>
        <color theme="1"/>
        <rFont val="Calibri"/>
        <family val="2"/>
        <scheme val="minor"/>
      </rPr>
      <t>m</t>
    </r>
  </si>
  <si>
    <t>c</t>
  </si>
  <si>
    <r>
      <t>Motor Efficiency 
η</t>
    </r>
    <r>
      <rPr>
        <b/>
        <vertAlign val="subscript"/>
        <sz val="11"/>
        <color theme="1"/>
        <rFont val="Calibri"/>
        <family val="2"/>
      </rPr>
      <t>m</t>
    </r>
  </si>
  <si>
    <r>
      <t>L</t>
    </r>
    <r>
      <rPr>
        <b/>
        <vertAlign val="subscript"/>
        <sz val="11"/>
        <color theme="1"/>
        <rFont val="Calibri"/>
        <family val="2"/>
      </rPr>
      <t>c</t>
    </r>
  </si>
  <si>
    <r>
      <t>VFD effiiciency 
η</t>
    </r>
    <r>
      <rPr>
        <b/>
        <vertAlign val="subscript"/>
        <sz val="11"/>
        <color theme="1"/>
        <rFont val="Calibri"/>
        <family val="2"/>
      </rPr>
      <t>c</t>
    </r>
  </si>
  <si>
    <r>
      <t>VFD &amp; Motor Efficiency
η</t>
    </r>
    <r>
      <rPr>
        <b/>
        <vertAlign val="subscript"/>
        <sz val="11"/>
        <color theme="1"/>
        <rFont val="Calibri"/>
        <family val="2"/>
      </rPr>
      <t>mc</t>
    </r>
  </si>
  <si>
    <t>Power Consumption kW</t>
  </si>
  <si>
    <r>
      <t>VFD, Motor &amp; Transmission Efficiency
η</t>
    </r>
    <r>
      <rPr>
        <b/>
        <vertAlign val="subscript"/>
        <sz val="11"/>
        <color theme="1"/>
        <rFont val="Calibri"/>
        <family val="2"/>
      </rPr>
      <t>system</t>
    </r>
  </si>
  <si>
    <t>Supply and Return Fan</t>
  </si>
  <si>
    <t>Single-Cabinet Fan System</t>
  </si>
  <si>
    <t>Exhaust/Return</t>
  </si>
  <si>
    <t>Est return/exhaust/relief fan fraction of total bhp</t>
  </si>
  <si>
    <t>Return/Exhaust</t>
  </si>
  <si>
    <t>S6 and ER3. Energy Recovery Ventilator:</t>
  </si>
  <si>
    <t xml:space="preserve">Note: Grey cells contain airflow values that are automatically populated but can be overridden if necessary. Orange cells must be populated by the user. </t>
  </si>
  <si>
    <t>Calculation per the proposed Fan Power Limits</t>
  </si>
  <si>
    <t>Exhaust/
Return/
Relief Fan</t>
  </si>
  <si>
    <t>return/exhaust side power allowance (kW)</t>
  </si>
  <si>
    <t>Yes - twice</t>
  </si>
  <si>
    <t>Fan System 2</t>
  </si>
  <si>
    <t>Complex Fan System</t>
  </si>
  <si>
    <t>Motor Calculations:</t>
  </si>
  <si>
    <t>Table A1. EPCA Nominal Motor Efficiency 
(60 Hz motors)</t>
  </si>
  <si>
    <t>Table B1. Polyphase Induction Motor Performance Constants 
(hp rated motors with VFD)</t>
  </si>
  <si>
    <t>C1. VFD Performance Constants 
(hp capacity)</t>
  </si>
  <si>
    <t>Table D1. Polyphase Induction Motor Performance Constants 
(hp rated motors DOL)</t>
  </si>
  <si>
    <t>Index</t>
  </si>
  <si>
    <t xml:space="preserve">The purpose of this workbook is to allow stakeholders to work with the proposed fan power limit updates for ASHRAE 90.1. </t>
  </si>
  <si>
    <t xml:space="preserve">There are three worksheets that the user can work out of, one for each type of fan system (single fan, supply/return fan, or complex fan systems). In each worksheet the user can enter fan system parameters and see how the resulting power allowance for the proposal compares against the two existing options in 90.1-2019 (i.e., the motor nameplate method and the brake horsepower method). Users only need to modify the orange "input" cells. </t>
  </si>
  <si>
    <t>MERV 8 Filter:</t>
  </si>
  <si>
    <t>MERV 13+ Filter: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</si>
</sst>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
    <numFmt numFmtId="166" formatCode="0.0%"/>
    <numFmt numFmtId="167" formatCode="0.00000"/>
  </numFmts>
  <fonts count="21" x14ac:knownFonts="1">
    <font>
      <sz val="11"/>
      <color theme="1"/>
      <name val="Calibri"/>
      <family val="2"/>
      <scheme val="minor"/>
    </font>
    <font>
      <sz val="11"/>
      <color theme="1"/>
      <name val="Calibri"/>
      <family val="2"/>
      <scheme val="minor"/>
    </font>
    <font>
      <b/>
      <sz val="11"/>
      <color theme="1"/>
      <name val="Calibri"/>
      <family val="2"/>
      <scheme val="minor"/>
    </font>
    <font>
      <b/>
      <sz val="11"/>
      <color theme="1"/>
      <name val="Calibri"/>
      <family val="2"/>
    </font>
    <font>
      <b/>
      <vertAlign val="subscript"/>
      <sz val="11"/>
      <color theme="1"/>
      <name val="Calibri"/>
      <family val="2"/>
    </font>
    <font>
      <b/>
      <vertAlign val="subscript"/>
      <sz val="11"/>
      <color theme="1"/>
      <name val="Calibri"/>
      <family val="2"/>
      <scheme val="minor"/>
    </font>
    <font>
      <sz val="11"/>
      <color theme="1"/>
      <name val="Calibri"/>
      <family val="2"/>
    </font>
    <font>
      <b/>
      <sz val="12"/>
      <color theme="1"/>
      <name val="Calibri"/>
      <family val="2"/>
      <scheme val="minor"/>
    </font>
    <font>
      <sz val="18"/>
      <color theme="1"/>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F0000"/>
      <name val="Calibri"/>
      <family val="2"/>
      <scheme val="minor"/>
    </font>
    <font>
      <sz val="11"/>
      <color theme="0"/>
      <name val="Calibri"/>
      <family val="2"/>
      <scheme val="minor"/>
    </font>
    <font>
      <b/>
      <u/>
      <sz val="11"/>
      <color theme="1"/>
      <name val="Calibri"/>
      <family val="2"/>
      <scheme val="minor"/>
    </font>
    <font>
      <b/>
      <sz val="11"/>
      <color rgb="FFFF0000"/>
      <name val="Calibri"/>
      <family val="2"/>
      <scheme val="minor"/>
    </font>
    <font>
      <b/>
      <u/>
      <sz val="11"/>
      <color rgb="FFFF0000"/>
      <name val="Calibri"/>
      <family val="2"/>
      <scheme val="minor"/>
    </font>
    <font>
      <b/>
      <u/>
      <sz val="14"/>
      <color theme="1"/>
      <name val="Calibri"/>
      <family val="2"/>
      <scheme val="minor"/>
    </font>
    <font>
      <b/>
      <sz val="14"/>
      <color theme="1"/>
      <name val="Calibri"/>
      <family val="2"/>
      <scheme val="minor"/>
    </font>
    <font>
      <u/>
      <sz val="11"/>
      <color theme="10"/>
      <name val="Calibri"/>
      <family val="2"/>
      <scheme val="minor"/>
    </font>
    <font>
      <u/>
      <sz val="11"/>
      <name val="Calibri"/>
      <family val="2"/>
      <scheme val="minor"/>
    </font>
  </fonts>
  <fills count="6">
    <fill>
      <patternFill patternType="none"/>
    </fill>
    <fill>
      <patternFill patternType="gray125"/>
    </fill>
    <fill>
      <patternFill patternType="solid">
        <fgColor rgb="FFFFCC99"/>
      </patternFill>
    </fill>
    <fill>
      <patternFill patternType="solid">
        <fgColor rgb="FFF2F2F2"/>
      </patternFill>
    </fill>
    <fill>
      <patternFill patternType="solid">
        <fgColor theme="6"/>
      </patternFill>
    </fill>
    <fill>
      <patternFill patternType="solid">
        <fgColor theme="1"/>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bottom style="thin">
        <color rgb="FF7F7F7F"/>
      </bottom>
      <diagonal/>
    </border>
    <border>
      <left/>
      <right style="thin">
        <color rgb="FF3F3F3F"/>
      </right>
      <top style="thin">
        <color rgb="FF3F3F3F"/>
      </top>
      <bottom style="thin">
        <color rgb="FF3F3F3F"/>
      </bottom>
      <diagonal/>
    </border>
    <border>
      <left/>
      <right/>
      <top style="thin">
        <color indexed="64"/>
      </top>
      <bottom style="thin">
        <color indexed="64"/>
      </bottom>
      <diagonal/>
    </border>
    <border>
      <left/>
      <right style="thin">
        <color rgb="FF7F7F7F"/>
      </right>
      <top style="thin">
        <color rgb="FF7F7F7F"/>
      </top>
      <bottom style="thin">
        <color rgb="FF7F7F7F"/>
      </bottom>
      <diagonal/>
    </border>
    <border>
      <left style="thin">
        <color rgb="FF7F7F7F"/>
      </left>
      <right/>
      <top style="thin">
        <color rgb="FF7F7F7F"/>
      </top>
      <bottom style="thin">
        <color rgb="FF7F7F7F"/>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7F7F7F"/>
      </left>
      <right/>
      <top/>
      <bottom/>
      <diagonal/>
    </border>
    <border>
      <left/>
      <right style="thin">
        <color rgb="FF7F7F7F"/>
      </right>
      <top/>
      <bottom/>
      <diagonal/>
    </border>
    <border>
      <left/>
      <right style="thin">
        <color rgb="FF7F7F7F"/>
      </right>
      <top/>
      <bottom style="thin">
        <color rgb="FF7F7F7F"/>
      </bottom>
      <diagonal/>
    </border>
    <border>
      <left style="thin">
        <color rgb="FF7F7F7F"/>
      </left>
      <right/>
      <top style="thin">
        <color rgb="FF7F7F7F"/>
      </top>
      <bottom style="thin">
        <color indexed="64"/>
      </bottom>
      <diagonal/>
    </border>
    <border>
      <left/>
      <right style="thin">
        <color rgb="FF7F7F7F"/>
      </right>
      <top style="thin">
        <color rgb="FF7F7F7F"/>
      </top>
      <bottom style="thin">
        <color indexed="64"/>
      </bottom>
      <diagonal/>
    </border>
    <border>
      <left style="thin">
        <color rgb="FF7F7F7F"/>
      </left>
      <right/>
      <top style="thin">
        <color indexed="64"/>
      </top>
      <bottom style="thin">
        <color rgb="FF7F7F7F"/>
      </bottom>
      <diagonal/>
    </border>
    <border>
      <left/>
      <right style="thin">
        <color rgb="FF7F7F7F"/>
      </right>
      <top style="thin">
        <color indexed="64"/>
      </top>
      <bottom style="thin">
        <color rgb="FF7F7F7F"/>
      </bottom>
      <diagonal/>
    </border>
  </borders>
  <cellStyleXfs count="7">
    <xf numFmtId="0" fontId="0" fillId="0" borderId="0"/>
    <xf numFmtId="9" fontId="1" fillId="0" borderId="0" applyFont="0" applyFill="0" applyBorder="0" applyAlignment="0" applyProtection="0"/>
    <xf numFmtId="0" fontId="9" fillId="2" borderId="7" applyNumberFormat="0" applyAlignment="0" applyProtection="0"/>
    <xf numFmtId="0" fontId="10" fillId="3" borderId="8" applyNumberFormat="0" applyAlignment="0" applyProtection="0"/>
    <xf numFmtId="0" fontId="11" fillId="3" borderId="7" applyNumberFormat="0" applyAlignment="0" applyProtection="0"/>
    <xf numFmtId="0" fontId="13" fillId="4" borderId="0" applyNumberFormat="0" applyBorder="0" applyAlignment="0" applyProtection="0"/>
    <xf numFmtId="0" fontId="19" fillId="0" borderId="0" applyNumberFormat="0" applyFill="0" applyBorder="0" applyAlignment="0" applyProtection="0"/>
  </cellStyleXfs>
  <cellXfs count="188">
    <xf numFmtId="0" fontId="0" fillId="0" borderId="0" xfId="0"/>
    <xf numFmtId="0" fontId="0" fillId="0" borderId="0" xfId="0" applyAlignment="1">
      <alignment horizontal="center"/>
    </xf>
    <xf numFmtId="165" fontId="0" fillId="0" borderId="0" xfId="0" applyNumberFormat="1" applyAlignment="1">
      <alignment horizontal="center"/>
    </xf>
    <xf numFmtId="164" fontId="0" fillId="0" borderId="0" xfId="0" applyNumberFormat="1" applyAlignment="1">
      <alignment horizontal="center"/>
    </xf>
    <xf numFmtId="0" fontId="3" fillId="0" borderId="4" xfId="0" applyFont="1" applyBorder="1" applyAlignment="1">
      <alignment horizontal="center"/>
    </xf>
    <xf numFmtId="0" fontId="2" fillId="0" borderId="0" xfId="0" applyFont="1" applyAlignment="1">
      <alignment wrapText="1"/>
    </xf>
    <xf numFmtId="0" fontId="2" fillId="0" borderId="0" xfId="0" applyFont="1"/>
    <xf numFmtId="0" fontId="2" fillId="0" borderId="0" xfId="0" applyFont="1" applyAlignment="1">
      <alignment horizontal="center"/>
    </xf>
    <xf numFmtId="0" fontId="0" fillId="0" borderId="0" xfId="0" applyAlignment="1">
      <alignment horizontal="left"/>
    </xf>
    <xf numFmtId="0" fontId="0" fillId="0" borderId="1" xfId="0" applyBorder="1"/>
    <xf numFmtId="0" fontId="2" fillId="0" borderId="1" xfId="0" applyFont="1" applyBorder="1"/>
    <xf numFmtId="9" fontId="2" fillId="0" borderId="0" xfId="0" applyNumberFormat="1" applyFont="1"/>
    <xf numFmtId="0" fontId="3" fillId="0" borderId="0" xfId="0" applyFont="1" applyAlignment="1">
      <alignment horizontal="center" wrapText="1"/>
    </xf>
    <xf numFmtId="0" fontId="2" fillId="0" borderId="0" xfId="0" applyFont="1" applyAlignment="1">
      <alignment horizontal="center" wrapText="1"/>
    </xf>
    <xf numFmtId="0" fontId="3" fillId="0" borderId="0" xfId="0" applyFont="1" applyAlignment="1">
      <alignment horizontal="center"/>
    </xf>
    <xf numFmtId="0" fontId="6" fillId="0" borderId="0" xfId="0" applyFont="1" applyAlignment="1">
      <alignment horizontal="center"/>
    </xf>
    <xf numFmtId="0" fontId="6" fillId="0" borderId="0" xfId="0" applyFont="1" applyAlignment="1">
      <alignment horizontal="center" wrapText="1"/>
    </xf>
    <xf numFmtId="166" fontId="0" fillId="0" borderId="0" xfId="1" applyNumberFormat="1" applyFont="1" applyAlignment="1">
      <alignment horizontal="center"/>
    </xf>
    <xf numFmtId="167" fontId="0" fillId="0" borderId="0" xfId="1" applyNumberFormat="1" applyFont="1" applyAlignment="1">
      <alignment horizontal="center"/>
    </xf>
    <xf numFmtId="10" fontId="0" fillId="0" borderId="0" xfId="1" applyNumberFormat="1" applyFont="1" applyAlignment="1">
      <alignment horizontal="center"/>
    </xf>
    <xf numFmtId="10" fontId="0" fillId="0" borderId="0" xfId="0" applyNumberFormat="1" applyAlignment="1">
      <alignment horizontal="center"/>
    </xf>
    <xf numFmtId="2" fontId="0" fillId="0" borderId="0" xfId="0" applyNumberFormat="1" applyAlignment="1">
      <alignment horizontal="center"/>
    </xf>
    <xf numFmtId="10" fontId="0" fillId="0" borderId="0" xfId="0" applyNumberFormat="1"/>
    <xf numFmtId="0" fontId="0" fillId="0" borderId="0" xfId="0" applyAlignment="1">
      <alignment horizontal="center"/>
    </xf>
    <xf numFmtId="0" fontId="0" fillId="0" borderId="0" xfId="0" applyAlignment="1">
      <alignment horizontal="left" vertical="center" wrapText="1"/>
    </xf>
    <xf numFmtId="0" fontId="8" fillId="0" borderId="0" xfId="0" applyFont="1" applyAlignment="1">
      <alignment horizontal="center" wrapText="1"/>
    </xf>
    <xf numFmtId="0" fontId="2" fillId="0" borderId="1" xfId="0" applyFont="1" applyBorder="1" applyAlignment="1">
      <alignment horizontal="left"/>
    </xf>
    <xf numFmtId="165" fontId="0" fillId="0" borderId="1" xfId="0" applyNumberFormat="1" applyBorder="1" applyAlignment="1">
      <alignment horizontal="center"/>
    </xf>
    <xf numFmtId="167" fontId="0" fillId="0" borderId="1" xfId="0" applyNumberFormat="1" applyBorder="1" applyAlignment="1">
      <alignment horizontal="center"/>
    </xf>
    <xf numFmtId="167" fontId="0" fillId="0" borderId="0" xfId="0" applyNumberFormat="1" applyAlignment="1">
      <alignment horizontal="center"/>
    </xf>
    <xf numFmtId="164" fontId="0" fillId="0" borderId="0" xfId="0" applyNumberFormat="1"/>
    <xf numFmtId="165" fontId="2" fillId="0" borderId="0" xfId="0" applyNumberFormat="1" applyFont="1" applyAlignment="1">
      <alignment horizontal="center"/>
    </xf>
    <xf numFmtId="10" fontId="0" fillId="0" borderId="1" xfId="1" applyNumberFormat="1" applyFont="1" applyBorder="1" applyAlignment="1">
      <alignment horizontal="center"/>
    </xf>
    <xf numFmtId="0" fontId="2" fillId="0" borderId="0" xfId="0" applyFont="1" applyAlignment="1">
      <alignment horizontal="right"/>
    </xf>
    <xf numFmtId="166" fontId="0" fillId="0" borderId="1" xfId="1" applyNumberFormat="1" applyFont="1" applyBorder="1" applyAlignment="1">
      <alignment horizontal="center"/>
    </xf>
    <xf numFmtId="10" fontId="2" fillId="0" borderId="0" xfId="0" applyNumberFormat="1" applyFont="1" applyAlignment="1">
      <alignment horizontal="center"/>
    </xf>
    <xf numFmtId="2" fontId="0" fillId="0" borderId="1" xfId="0" applyNumberFormat="1" applyBorder="1" applyAlignment="1">
      <alignment horizontal="center"/>
    </xf>
    <xf numFmtId="0" fontId="0" fillId="0" borderId="0" xfId="0" applyAlignment="1">
      <alignment wrapText="1"/>
    </xf>
    <xf numFmtId="1" fontId="11" fillId="3" borderId="7" xfId="4" applyNumberFormat="1" applyAlignment="1">
      <alignment horizontal="center"/>
    </xf>
    <xf numFmtId="0" fontId="13" fillId="4" borderId="1" xfId="5" applyBorder="1" applyAlignment="1">
      <alignment horizontal="center"/>
    </xf>
    <xf numFmtId="164" fontId="13" fillId="4" borderId="1" xfId="5" applyNumberFormat="1" applyBorder="1" applyAlignment="1">
      <alignment horizontal="center"/>
    </xf>
    <xf numFmtId="2" fontId="10" fillId="3" borderId="8" xfId="3" applyNumberFormat="1" applyAlignment="1">
      <alignment horizontal="center"/>
    </xf>
    <xf numFmtId="2" fontId="11" fillId="3" borderId="7" xfId="4" applyNumberFormat="1" applyAlignment="1">
      <alignment horizontal="center"/>
    </xf>
    <xf numFmtId="0" fontId="0" fillId="0" borderId="0" xfId="0" applyFill="1" applyBorder="1" applyAlignment="1">
      <alignment horizontal="right"/>
    </xf>
    <xf numFmtId="0" fontId="9" fillId="2" borderId="7" xfId="2"/>
    <xf numFmtId="165" fontId="11" fillId="3" borderId="7" xfId="4" applyNumberFormat="1" applyAlignment="1">
      <alignment horizontal="center"/>
    </xf>
    <xf numFmtId="0" fontId="14" fillId="0" borderId="0" xfId="0" applyFont="1"/>
    <xf numFmtId="0" fontId="12" fillId="0" borderId="0" xfId="0" applyFont="1"/>
    <xf numFmtId="0" fontId="15" fillId="0" borderId="0" xfId="0" applyFont="1"/>
    <xf numFmtId="0" fontId="11" fillId="3" borderId="7" xfId="4"/>
    <xf numFmtId="0" fontId="13" fillId="4" borderId="7" xfId="5" applyBorder="1"/>
    <xf numFmtId="0" fontId="10" fillId="3" borderId="8" xfId="3"/>
    <xf numFmtId="10" fontId="9" fillId="2" borderId="7" xfId="2" applyNumberFormat="1" applyAlignment="1">
      <alignment horizontal="center"/>
    </xf>
    <xf numFmtId="165" fontId="9" fillId="2" borderId="7" xfId="2" applyNumberFormat="1" applyAlignment="1">
      <alignment horizontal="center"/>
    </xf>
    <xf numFmtId="10" fontId="11" fillId="3" borderId="7" xfId="4" applyNumberFormat="1" applyAlignment="1">
      <alignment horizontal="center"/>
    </xf>
    <xf numFmtId="164" fontId="10" fillId="3" borderId="8" xfId="3" applyNumberFormat="1" applyAlignment="1">
      <alignment horizontal="center"/>
    </xf>
    <xf numFmtId="0" fontId="16" fillId="0" borderId="0" xfId="0" applyFont="1"/>
    <xf numFmtId="0" fontId="11" fillId="3" borderId="7" xfId="4" applyAlignment="1">
      <alignment horizontal="center"/>
    </xf>
    <xf numFmtId="164" fontId="11" fillId="3" borderId="7" xfId="4" applyNumberFormat="1" applyAlignment="1">
      <alignment horizontal="center"/>
    </xf>
    <xf numFmtId="165" fontId="10" fillId="3" borderId="8" xfId="3" applyNumberFormat="1" applyAlignment="1">
      <alignment horizontal="center"/>
    </xf>
    <xf numFmtId="0" fontId="2" fillId="0" borderId="1" xfId="0" applyFont="1" applyBorder="1" applyAlignment="1">
      <alignment horizontal="center" wrapText="1"/>
    </xf>
    <xf numFmtId="0" fontId="0" fillId="0" borderId="6" xfId="0" applyBorder="1" applyAlignment="1">
      <alignment horizontal="right"/>
    </xf>
    <xf numFmtId="0" fontId="11" fillId="3" borderId="9" xfId="4" applyBorder="1" applyAlignment="1">
      <alignment horizontal="center"/>
    </xf>
    <xf numFmtId="164" fontId="11" fillId="3" borderId="9" xfId="4" applyNumberFormat="1" applyBorder="1" applyAlignment="1">
      <alignment horizontal="center"/>
    </xf>
    <xf numFmtId="165" fontId="2" fillId="0" borderId="1" xfId="0" applyNumberFormat="1" applyFont="1" applyBorder="1" applyAlignment="1">
      <alignment horizontal="center" wrapText="1"/>
    </xf>
    <xf numFmtId="165" fontId="10" fillId="3" borderId="10" xfId="3" applyNumberFormat="1" applyBorder="1" applyAlignment="1">
      <alignment horizontal="center"/>
    </xf>
    <xf numFmtId="166" fontId="10" fillId="3" borderId="8" xfId="3" applyNumberFormat="1" applyAlignment="1">
      <alignment horizontal="center"/>
    </xf>
    <xf numFmtId="1" fontId="9" fillId="2" borderId="7" xfId="2" applyNumberFormat="1" applyAlignment="1">
      <alignment horizontal="center"/>
    </xf>
    <xf numFmtId="0" fontId="0" fillId="0" borderId="0" xfId="0" applyBorder="1" applyAlignment="1">
      <alignment horizontal="right"/>
    </xf>
    <xf numFmtId="0" fontId="0" fillId="0" borderId="0" xfId="0" applyBorder="1"/>
    <xf numFmtId="0" fontId="17" fillId="0" borderId="0" xfId="0" applyFont="1"/>
    <xf numFmtId="9" fontId="9" fillId="2" borderId="12" xfId="2" applyNumberFormat="1" applyBorder="1" applyAlignment="1">
      <alignment horizontal="center"/>
    </xf>
    <xf numFmtId="166" fontId="9" fillId="2" borderId="12" xfId="2" applyNumberFormat="1" applyBorder="1" applyAlignment="1">
      <alignment horizontal="center"/>
    </xf>
    <xf numFmtId="1" fontId="11" fillId="3" borderId="13" xfId="4" applyNumberFormat="1" applyBorder="1" applyAlignment="1">
      <alignment horizontal="center"/>
    </xf>
    <xf numFmtId="2" fontId="11" fillId="3" borderId="12" xfId="4" applyNumberFormat="1" applyBorder="1" applyAlignment="1">
      <alignment horizontal="center"/>
    </xf>
    <xf numFmtId="0" fontId="0" fillId="0" borderId="0" xfId="0" applyBorder="1" applyAlignment="1"/>
    <xf numFmtId="0" fontId="0" fillId="0" borderId="4" xfId="0" applyBorder="1" applyAlignment="1"/>
    <xf numFmtId="165" fontId="0" fillId="0" borderId="0" xfId="0" applyNumberFormat="1" applyBorder="1" applyAlignment="1"/>
    <xf numFmtId="0" fontId="18" fillId="0" borderId="0" xfId="0" applyFont="1"/>
    <xf numFmtId="15" fontId="0" fillId="0" borderId="0" xfId="0" applyNumberFormat="1"/>
    <xf numFmtId="0" fontId="19" fillId="0" borderId="0" xfId="6"/>
    <xf numFmtId="15" fontId="0" fillId="0" borderId="0" xfId="0" applyNumberFormat="1" applyAlignment="1"/>
    <xf numFmtId="3" fontId="0" fillId="0" borderId="1" xfId="0" applyNumberFormat="1" applyBorder="1"/>
    <xf numFmtId="2" fontId="0" fillId="0" borderId="1" xfId="0" applyNumberFormat="1" applyBorder="1"/>
    <xf numFmtId="165" fontId="0" fillId="0" borderId="1" xfId="0" applyNumberFormat="1" applyBorder="1"/>
    <xf numFmtId="166" fontId="0" fillId="0" borderId="1" xfId="1" applyNumberFormat="1" applyFont="1" applyBorder="1"/>
    <xf numFmtId="0" fontId="2" fillId="0" borderId="1" xfId="0" applyFont="1" applyBorder="1" applyAlignment="1">
      <alignment vertical="center"/>
    </xf>
    <xf numFmtId="0" fontId="2" fillId="0" borderId="1" xfId="0" applyFont="1" applyBorder="1" applyAlignment="1">
      <alignment vertical="center" wrapText="1"/>
    </xf>
    <xf numFmtId="0" fontId="3" fillId="0" borderId="0" xfId="0" applyFont="1" applyBorder="1" applyAlignment="1">
      <alignment horizontal="center"/>
    </xf>
    <xf numFmtId="0" fontId="2" fillId="0" borderId="1" xfId="0" applyFont="1" applyBorder="1" applyAlignment="1"/>
    <xf numFmtId="164" fontId="10" fillId="3" borderId="10" xfId="3" applyNumberFormat="1" applyBorder="1" applyAlignment="1">
      <alignment horizontal="center"/>
    </xf>
    <xf numFmtId="166" fontId="10" fillId="3" borderId="10" xfId="3" applyNumberFormat="1" applyBorder="1" applyAlignment="1">
      <alignment horizontal="center"/>
    </xf>
    <xf numFmtId="0" fontId="2" fillId="0" borderId="2" xfId="0" applyFont="1" applyBorder="1" applyAlignment="1"/>
    <xf numFmtId="0" fontId="2" fillId="0" borderId="11" xfId="0" applyFont="1" applyBorder="1" applyAlignment="1"/>
    <xf numFmtId="0" fontId="2" fillId="0" borderId="3" xfId="0" applyFont="1" applyBorder="1" applyAlignment="1"/>
    <xf numFmtId="0" fontId="0" fillId="0" borderId="0" xfId="0" applyFill="1"/>
    <xf numFmtId="0" fontId="9" fillId="0" borderId="0" xfId="2" applyFill="1" applyBorder="1"/>
    <xf numFmtId="0" fontId="2" fillId="0" borderId="3" xfId="0" applyFont="1" applyBorder="1" applyAlignment="1">
      <alignment horizontal="center" wrapText="1"/>
    </xf>
    <xf numFmtId="0" fontId="11" fillId="3" borderId="23" xfId="4" applyBorder="1" applyAlignment="1">
      <alignment horizontal="center"/>
    </xf>
    <xf numFmtId="0" fontId="11" fillId="3" borderId="12" xfId="4" applyBorder="1" applyAlignment="1">
      <alignment horizontal="center"/>
    </xf>
    <xf numFmtId="0" fontId="0" fillId="0" borderId="0" xfId="0" applyAlignment="1"/>
    <xf numFmtId="0" fontId="3" fillId="0" borderId="1" xfId="0" applyFont="1" applyBorder="1" applyAlignment="1">
      <alignment horizontal="center" wrapText="1"/>
    </xf>
    <xf numFmtId="0" fontId="3" fillId="0" borderId="1" xfId="0" applyFont="1" applyBorder="1" applyAlignment="1">
      <alignment horizontal="center"/>
    </xf>
    <xf numFmtId="167" fontId="0" fillId="0" borderId="1" xfId="1" applyNumberFormat="1" applyFont="1" applyBorder="1" applyAlignment="1">
      <alignment horizontal="center"/>
    </xf>
    <xf numFmtId="10" fontId="0" fillId="0" borderId="1" xfId="0" applyNumberFormat="1" applyBorder="1" applyAlignment="1">
      <alignment horizontal="center"/>
    </xf>
    <xf numFmtId="0" fontId="2" fillId="0" borderId="0" xfId="0" applyFont="1" applyAlignment="1">
      <alignment horizontal="right" wrapText="1"/>
    </xf>
    <xf numFmtId="0" fontId="0" fillId="5" borderId="1" xfId="0" applyFill="1" applyBorder="1" applyAlignment="1">
      <alignment horizontal="center"/>
    </xf>
    <xf numFmtId="0" fontId="0" fillId="0" borderId="0" xfId="0" applyAlignment="1">
      <alignment horizontal="center" wrapText="1"/>
    </xf>
    <xf numFmtId="0" fontId="2" fillId="0" borderId="1" xfId="0" applyFont="1" applyBorder="1" applyAlignment="1">
      <alignment horizontal="center"/>
    </xf>
    <xf numFmtId="0" fontId="9" fillId="2" borderId="7" xfId="2" applyAlignment="1">
      <alignment horizontal="center"/>
    </xf>
    <xf numFmtId="0" fontId="0" fillId="0" borderId="1" xfId="0" applyBorder="1" applyAlignment="1">
      <alignment horizontal="right"/>
    </xf>
    <xf numFmtId="165" fontId="0" fillId="0" borderId="0" xfId="0" applyNumberFormat="1" applyBorder="1" applyAlignment="1">
      <alignment horizontal="center"/>
    </xf>
    <xf numFmtId="0" fontId="0" fillId="0" borderId="0" xfId="0" applyAlignment="1">
      <alignment horizontal="right"/>
    </xf>
    <xf numFmtId="0" fontId="2" fillId="0" borderId="1" xfId="0" applyFont="1" applyBorder="1" applyAlignment="1">
      <alignment horizontal="right"/>
    </xf>
    <xf numFmtId="0" fontId="0" fillId="0" borderId="1" xfId="0" applyBorder="1" applyAlignment="1">
      <alignment horizontal="center"/>
    </xf>
    <xf numFmtId="0" fontId="0" fillId="0" borderId="0" xfId="0" applyFill="1" applyAlignment="1">
      <alignment horizontal="right"/>
    </xf>
    <xf numFmtId="0" fontId="9" fillId="2" borderId="12" xfId="2" applyBorder="1" applyAlignment="1">
      <alignment horizontal="center"/>
    </xf>
    <xf numFmtId="0" fontId="0" fillId="0" borderId="1" xfId="0" applyFill="1" applyBorder="1" applyAlignment="1">
      <alignment horizontal="right"/>
    </xf>
    <xf numFmtId="0" fontId="0" fillId="0" borderId="0" xfId="0" applyAlignment="1">
      <alignment horizontal="right"/>
    </xf>
    <xf numFmtId="0" fontId="2" fillId="0" borderId="1" xfId="0" applyFont="1" applyBorder="1" applyAlignment="1">
      <alignment horizontal="center"/>
    </xf>
    <xf numFmtId="0" fontId="0" fillId="0" borderId="0" xfId="0" applyAlignment="1">
      <alignment horizontal="center" wrapText="1"/>
    </xf>
    <xf numFmtId="0" fontId="9" fillId="2" borderId="7" xfId="2" applyAlignment="1">
      <alignment horizontal="center"/>
    </xf>
    <xf numFmtId="0" fontId="9" fillId="2" borderId="12" xfId="2" applyBorder="1" applyAlignment="1">
      <alignment horizontal="center"/>
    </xf>
    <xf numFmtId="165" fontId="0" fillId="0" borderId="0" xfId="0" applyNumberFormat="1" applyBorder="1" applyAlignment="1">
      <alignment horizontal="center"/>
    </xf>
    <xf numFmtId="0" fontId="11" fillId="3" borderId="7" xfId="4" applyAlignment="1">
      <alignment horizontal="center"/>
    </xf>
    <xf numFmtId="0" fontId="0" fillId="0" borderId="1" xfId="0" applyBorder="1" applyAlignment="1">
      <alignment horizontal="center"/>
    </xf>
    <xf numFmtId="0" fontId="2" fillId="0" borderId="1" xfId="0" applyFont="1" applyBorder="1" applyAlignment="1">
      <alignment horizontal="center" vertical="center"/>
    </xf>
    <xf numFmtId="0" fontId="0" fillId="0" borderId="1" xfId="0" applyBorder="1" applyAlignment="1">
      <alignment horizontal="left"/>
    </xf>
    <xf numFmtId="0" fontId="0" fillId="0" borderId="14" xfId="0" applyBorder="1" applyAlignment="1">
      <alignment horizontal="left" wrapText="1"/>
    </xf>
    <xf numFmtId="0" fontId="0" fillId="0" borderId="15" xfId="0" applyBorder="1" applyAlignment="1">
      <alignment horizontal="left" wrapText="1"/>
    </xf>
    <xf numFmtId="0" fontId="0" fillId="0" borderId="16" xfId="0" applyBorder="1" applyAlignment="1">
      <alignment horizontal="left" wrapText="1"/>
    </xf>
    <xf numFmtId="0" fontId="0" fillId="0" borderId="17" xfId="0" applyBorder="1" applyAlignment="1">
      <alignment horizontal="left" wrapText="1"/>
    </xf>
    <xf numFmtId="0" fontId="0" fillId="0" borderId="0" xfId="0" applyBorder="1" applyAlignment="1">
      <alignment horizontal="left" wrapText="1"/>
    </xf>
    <xf numFmtId="0" fontId="0" fillId="0" borderId="18" xfId="0" applyBorder="1" applyAlignment="1">
      <alignment horizontal="left" wrapText="1"/>
    </xf>
    <xf numFmtId="0" fontId="0" fillId="0" borderId="19" xfId="0" applyBorder="1" applyAlignment="1">
      <alignment horizontal="left" wrapText="1"/>
    </xf>
    <xf numFmtId="0" fontId="0" fillId="0" borderId="4" xfId="0" applyBorder="1" applyAlignment="1">
      <alignment horizontal="left" wrapText="1"/>
    </xf>
    <xf numFmtId="0" fontId="0" fillId="0" borderId="20" xfId="0" applyBorder="1" applyAlignment="1">
      <alignment horizontal="left" wrapText="1"/>
    </xf>
    <xf numFmtId="0" fontId="2" fillId="0" borderId="1" xfId="0" applyFont="1" applyBorder="1" applyAlignment="1">
      <alignment horizontal="center" vertical="center" wrapText="1"/>
    </xf>
    <xf numFmtId="0" fontId="0" fillId="0" borderId="2" xfId="0" applyFont="1" applyBorder="1" applyAlignment="1">
      <alignment horizontal="right"/>
    </xf>
    <xf numFmtId="0" fontId="0" fillId="0" borderId="11" xfId="0" applyFont="1" applyBorder="1" applyAlignment="1">
      <alignment horizontal="right"/>
    </xf>
    <xf numFmtId="0" fontId="0" fillId="0" borderId="3" xfId="0" applyFont="1" applyBorder="1" applyAlignment="1">
      <alignment horizontal="right"/>
    </xf>
    <xf numFmtId="0" fontId="2" fillId="0" borderId="2" xfId="0" applyFont="1" applyBorder="1" applyAlignment="1">
      <alignment horizontal="right"/>
    </xf>
    <xf numFmtId="0" fontId="2" fillId="0" borderId="11" xfId="0" applyFont="1" applyBorder="1" applyAlignment="1">
      <alignment horizontal="right"/>
    </xf>
    <xf numFmtId="0" fontId="2" fillId="0" borderId="3" xfId="0" applyFont="1" applyBorder="1" applyAlignment="1">
      <alignment horizontal="right"/>
    </xf>
    <xf numFmtId="0" fontId="0" fillId="0" borderId="2" xfId="0" applyBorder="1" applyAlignment="1">
      <alignment horizontal="right"/>
    </xf>
    <xf numFmtId="0" fontId="0" fillId="0" borderId="11" xfId="0" applyBorder="1" applyAlignment="1">
      <alignment horizontal="right"/>
    </xf>
    <xf numFmtId="0" fontId="0" fillId="0" borderId="3" xfId="0" applyBorder="1" applyAlignment="1">
      <alignment horizontal="right"/>
    </xf>
    <xf numFmtId="0" fontId="2" fillId="0" borderId="1" xfId="0" applyFont="1" applyBorder="1" applyAlignment="1">
      <alignment horizontal="center"/>
    </xf>
    <xf numFmtId="0" fontId="2" fillId="0" borderId="2" xfId="0" applyFont="1" applyBorder="1" applyAlignment="1">
      <alignment horizontal="center"/>
    </xf>
    <xf numFmtId="0" fontId="2" fillId="0" borderId="11" xfId="0" applyFont="1" applyBorder="1" applyAlignment="1">
      <alignment horizontal="center"/>
    </xf>
    <xf numFmtId="0" fontId="2" fillId="0" borderId="3" xfId="0" applyFont="1" applyBorder="1" applyAlignment="1">
      <alignment horizont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1" xfId="0" applyBorder="1" applyAlignment="1">
      <alignment horizontal="right"/>
    </xf>
    <xf numFmtId="0" fontId="9" fillId="2" borderId="7" xfId="2" applyAlignment="1">
      <alignment horizontal="center"/>
    </xf>
    <xf numFmtId="0" fontId="0" fillId="0" borderId="0" xfId="0" applyAlignment="1">
      <alignment horizontal="center" wrapText="1"/>
    </xf>
    <xf numFmtId="0" fontId="0" fillId="0" borderId="2" xfId="0" applyBorder="1" applyAlignment="1">
      <alignment horizontal="left" indent="2"/>
    </xf>
    <xf numFmtId="0" fontId="0" fillId="0" borderId="3" xfId="0" applyBorder="1" applyAlignment="1">
      <alignment horizontal="left" indent="2"/>
    </xf>
    <xf numFmtId="0" fontId="9" fillId="2" borderId="7" xfId="2" applyAlignment="1">
      <alignment horizontal="left" indent="2"/>
    </xf>
    <xf numFmtId="0" fontId="9" fillId="2" borderId="9" xfId="2" applyBorder="1" applyAlignment="1">
      <alignment horizontal="center"/>
    </xf>
    <xf numFmtId="0" fontId="9" fillId="2" borderId="1" xfId="2" applyBorder="1" applyAlignment="1">
      <alignment horizontal="center"/>
    </xf>
    <xf numFmtId="0" fontId="0" fillId="0" borderId="0" xfId="0" applyAlignment="1">
      <alignment horizontal="left" wrapText="1"/>
    </xf>
    <xf numFmtId="0" fontId="9" fillId="2" borderId="13" xfId="2" applyBorder="1" applyAlignment="1">
      <alignment horizontal="center"/>
    </xf>
    <xf numFmtId="0" fontId="9" fillId="2" borderId="12" xfId="2" applyBorder="1" applyAlignment="1">
      <alignment horizontal="center"/>
    </xf>
    <xf numFmtId="0" fontId="9" fillId="2" borderId="24" xfId="2" applyBorder="1" applyAlignment="1">
      <alignment horizontal="center"/>
    </xf>
    <xf numFmtId="0" fontId="9" fillId="2" borderId="25" xfId="2" applyBorder="1" applyAlignment="1">
      <alignment horizontal="center"/>
    </xf>
    <xf numFmtId="0" fontId="9" fillId="5" borderId="2" xfId="2" applyFill="1" applyBorder="1" applyAlignment="1">
      <alignment horizontal="center"/>
    </xf>
    <xf numFmtId="0" fontId="9" fillId="5" borderId="3" xfId="2" applyFill="1" applyBorder="1" applyAlignment="1">
      <alignment horizontal="center"/>
    </xf>
    <xf numFmtId="0" fontId="9" fillId="2" borderId="26" xfId="2" applyBorder="1" applyAlignment="1">
      <alignment horizontal="center"/>
    </xf>
    <xf numFmtId="0" fontId="9" fillId="2" borderId="27" xfId="2" applyBorder="1" applyAlignment="1">
      <alignment horizontal="center"/>
    </xf>
    <xf numFmtId="9" fontId="20" fillId="0" borderId="0" xfId="2" applyNumberFormat="1" applyFont="1" applyFill="1" applyBorder="1" applyAlignment="1">
      <alignment horizontal="center"/>
    </xf>
    <xf numFmtId="0" fontId="0" fillId="0" borderId="0" xfId="0" applyBorder="1" applyAlignment="1">
      <alignment horizontal="center" wrapText="1"/>
    </xf>
    <xf numFmtId="0" fontId="0" fillId="0" borderId="4" xfId="0" applyBorder="1" applyAlignment="1">
      <alignment horizontal="center" wrapText="1"/>
    </xf>
    <xf numFmtId="0" fontId="0" fillId="0" borderId="0" xfId="0" applyBorder="1" applyAlignment="1">
      <alignment horizontal="center"/>
    </xf>
    <xf numFmtId="0" fontId="0" fillId="0" borderId="4" xfId="0" applyBorder="1" applyAlignment="1">
      <alignment horizontal="center"/>
    </xf>
    <xf numFmtId="165" fontId="0" fillId="0" borderId="0" xfId="0" applyNumberFormat="1" applyBorder="1" applyAlignment="1">
      <alignment horizontal="center"/>
    </xf>
    <xf numFmtId="165" fontId="0" fillId="0" borderId="4" xfId="0" applyNumberFormat="1" applyBorder="1" applyAlignment="1">
      <alignment horizontal="center"/>
    </xf>
    <xf numFmtId="0" fontId="9" fillId="5" borderId="17" xfId="2" applyFill="1" applyBorder="1" applyAlignment="1">
      <alignment horizontal="center"/>
    </xf>
    <xf numFmtId="0" fontId="9" fillId="5" borderId="22" xfId="2" applyFill="1" applyBorder="1" applyAlignment="1">
      <alignment horizontal="center"/>
    </xf>
    <xf numFmtId="0" fontId="9" fillId="5" borderId="18" xfId="2" applyFill="1" applyBorder="1" applyAlignment="1">
      <alignment horizontal="center"/>
    </xf>
    <xf numFmtId="0" fontId="2" fillId="0" borderId="1" xfId="0" applyFont="1" applyBorder="1" applyAlignment="1">
      <alignment horizontal="right"/>
    </xf>
    <xf numFmtId="0" fontId="11" fillId="3" borderId="7" xfId="4" applyAlignment="1">
      <alignment horizontal="center"/>
    </xf>
    <xf numFmtId="0" fontId="13" fillId="4" borderId="21" xfId="5" applyBorder="1" applyAlignment="1">
      <alignment horizontal="center"/>
    </xf>
    <xf numFmtId="0" fontId="13" fillId="4" borderId="0" xfId="5" applyBorder="1" applyAlignment="1">
      <alignment horizontal="center"/>
    </xf>
    <xf numFmtId="0" fontId="10" fillId="3" borderId="8" xfId="3" applyAlignment="1">
      <alignment horizontal="center"/>
    </xf>
    <xf numFmtId="0" fontId="7" fillId="0" borderId="0" xfId="0" applyFont="1" applyAlignment="1">
      <alignment horizontal="center" vertical="top" wrapText="1"/>
    </xf>
    <xf numFmtId="0" fontId="2" fillId="0" borderId="5" xfId="0" applyFont="1" applyBorder="1" applyAlignment="1">
      <alignment horizontal="center"/>
    </xf>
    <xf numFmtId="0" fontId="2" fillId="0" borderId="6" xfId="0" applyFont="1" applyBorder="1" applyAlignment="1">
      <alignment horizontal="center"/>
    </xf>
  </cellXfs>
  <cellStyles count="7">
    <cellStyle name="Accent3" xfId="5" builtinId="37"/>
    <cellStyle name="Calculation" xfId="4" builtinId="22"/>
    <cellStyle name="Hyperlink" xfId="6" builtinId="8"/>
    <cellStyle name="Input" xfId="2" builtinId="20"/>
    <cellStyle name="Normal" xfId="0" builtinId="0"/>
    <cellStyle name="Output" xfId="3" builtinId="21"/>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10</xdr:col>
      <xdr:colOff>491065</xdr:colOff>
      <xdr:row>2</xdr:row>
      <xdr:rowOff>101600</xdr:rowOff>
    </xdr:from>
    <xdr:to>
      <xdr:col>19</xdr:col>
      <xdr:colOff>2189861</xdr:colOff>
      <xdr:row>25</xdr:row>
      <xdr:rowOff>97040</xdr:rowOff>
    </xdr:to>
    <xdr:pic>
      <xdr:nvPicPr>
        <xdr:cNvPr id="13" name="Picture 12">
          <a:extLst>
            <a:ext uri="{FF2B5EF4-FFF2-40B4-BE49-F238E27FC236}">
              <a16:creationId xmlns:a16="http://schemas.microsoft.com/office/drawing/2014/main" id="{3EAA58E1-697A-4182-A02E-809A558F4018}"/>
            </a:ext>
          </a:extLst>
        </xdr:cNvPr>
        <xdr:cNvPicPr>
          <a:picLocks noChangeAspect="1"/>
        </xdr:cNvPicPr>
      </xdr:nvPicPr>
      <xdr:blipFill>
        <a:blip xmlns:r="http://schemas.openxmlformats.org/officeDocument/2006/relationships" r:embed="rId1"/>
        <a:stretch>
          <a:fillRect/>
        </a:stretch>
      </xdr:blipFill>
      <xdr:spPr>
        <a:xfrm>
          <a:off x="10799232" y="482600"/>
          <a:ext cx="8705810" cy="44222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1754717</xdr:colOff>
      <xdr:row>8</xdr:row>
      <xdr:rowOff>152401</xdr:rowOff>
    </xdr:from>
    <xdr:to>
      <xdr:col>19</xdr:col>
      <xdr:colOff>2534795</xdr:colOff>
      <xdr:row>33</xdr:row>
      <xdr:rowOff>54459</xdr:rowOff>
    </xdr:to>
    <xdr:pic>
      <xdr:nvPicPr>
        <xdr:cNvPr id="2" name="Picture 1">
          <a:extLst>
            <a:ext uri="{FF2B5EF4-FFF2-40B4-BE49-F238E27FC236}">
              <a16:creationId xmlns:a16="http://schemas.microsoft.com/office/drawing/2014/main" id="{4BF56935-19D6-41D2-A5B6-49F6F4237236}"/>
            </a:ext>
          </a:extLst>
        </xdr:cNvPr>
        <xdr:cNvPicPr>
          <a:picLocks noChangeAspect="1"/>
        </xdr:cNvPicPr>
      </xdr:nvPicPr>
      <xdr:blipFill>
        <a:blip xmlns:r="http://schemas.openxmlformats.org/officeDocument/2006/relationships" r:embed="rId1"/>
        <a:stretch>
          <a:fillRect/>
        </a:stretch>
      </xdr:blipFill>
      <xdr:spPr>
        <a:xfrm>
          <a:off x="9311217" y="1676401"/>
          <a:ext cx="10967171" cy="47174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14</xdr:col>
      <xdr:colOff>635000</xdr:colOff>
      <xdr:row>2</xdr:row>
      <xdr:rowOff>21167</xdr:rowOff>
    </xdr:from>
    <xdr:to>
      <xdr:col>23</xdr:col>
      <xdr:colOff>2161328</xdr:colOff>
      <xdr:row>32</xdr:row>
      <xdr:rowOff>170516</xdr:rowOff>
    </xdr:to>
    <xdr:pic>
      <xdr:nvPicPr>
        <xdr:cNvPr id="2" name="Picture 1">
          <a:extLst>
            <a:ext uri="{FF2B5EF4-FFF2-40B4-BE49-F238E27FC236}">
              <a16:creationId xmlns:a16="http://schemas.microsoft.com/office/drawing/2014/main" id="{2EE184C5-DB84-461F-A722-AC0BB16E8EC0}"/>
            </a:ext>
          </a:extLst>
        </xdr:cNvPr>
        <xdr:cNvPicPr>
          <a:picLocks noChangeAspect="1"/>
        </xdr:cNvPicPr>
      </xdr:nvPicPr>
      <xdr:blipFill>
        <a:blip xmlns:r="http://schemas.openxmlformats.org/officeDocument/2006/relationships" r:embed="rId1"/>
        <a:stretch>
          <a:fillRect/>
        </a:stretch>
      </xdr:blipFill>
      <xdr:spPr>
        <a:xfrm>
          <a:off x="11387667" y="402167"/>
          <a:ext cx="8523816" cy="591345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635000</xdr:colOff>
      <xdr:row>2</xdr:row>
      <xdr:rowOff>21167</xdr:rowOff>
    </xdr:from>
    <xdr:to>
      <xdr:col>23</xdr:col>
      <xdr:colOff>2151803</xdr:colOff>
      <xdr:row>32</xdr:row>
      <xdr:rowOff>174326</xdr:rowOff>
    </xdr:to>
    <xdr:pic>
      <xdr:nvPicPr>
        <xdr:cNvPr id="2" name="Picture 1">
          <a:extLst>
            <a:ext uri="{FF2B5EF4-FFF2-40B4-BE49-F238E27FC236}">
              <a16:creationId xmlns:a16="http://schemas.microsoft.com/office/drawing/2014/main" id="{AF275A66-87DB-414D-84B6-A27FB2756ADF}"/>
            </a:ext>
          </a:extLst>
        </xdr:cNvPr>
        <xdr:cNvPicPr>
          <a:picLocks noChangeAspect="1"/>
        </xdr:cNvPicPr>
      </xdr:nvPicPr>
      <xdr:blipFill>
        <a:blip xmlns:r="http://schemas.openxmlformats.org/officeDocument/2006/relationships" r:embed="rId1"/>
        <a:stretch>
          <a:fillRect/>
        </a:stretch>
      </xdr:blipFill>
      <xdr:spPr>
        <a:xfrm>
          <a:off x="11584940" y="379307"/>
          <a:ext cx="8626263" cy="564908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bboyce@energy-solution.com" TargetMode="External"/><Relationship Id="rId1" Type="http://schemas.openxmlformats.org/officeDocument/2006/relationships/hyperlink" Target="mailto:johnbade@2050partners.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DD77D-7058-463B-A273-EEAD87DE972C}">
  <sheetPr>
    <tabColor theme="5" tint="0.79998168889431442"/>
  </sheetPr>
  <dimension ref="B2:M29"/>
  <sheetViews>
    <sheetView showGridLines="0" workbookViewId="0">
      <selection activeCell="A16" sqref="A16:XFD29"/>
    </sheetView>
  </sheetViews>
  <sheetFormatPr defaultRowHeight="14.4" x14ac:dyDescent="0.3"/>
  <cols>
    <col min="2" max="2" width="9.5546875" bestFit="1" customWidth="1"/>
    <col min="3" max="3" width="22.44140625" bestFit="1" customWidth="1"/>
    <col min="4" max="4" width="12.6640625" customWidth="1"/>
    <col min="5" max="5" width="12.6640625" bestFit="1" customWidth="1"/>
    <col min="6" max="6" width="9.88671875" customWidth="1"/>
    <col min="8" max="8" width="13.6640625" customWidth="1"/>
    <col min="9" max="9" width="10.44140625" customWidth="1"/>
    <col min="10" max="10" width="18.44140625" customWidth="1"/>
  </cols>
  <sheetData>
    <row r="2" spans="2:13" ht="18" x14ac:dyDescent="0.35">
      <c r="B2" s="78" t="s">
        <v>0</v>
      </c>
    </row>
    <row r="3" spans="2:13" x14ac:dyDescent="0.3">
      <c r="B3" t="s">
        <v>1</v>
      </c>
    </row>
    <row r="4" spans="2:13" x14ac:dyDescent="0.3">
      <c r="B4" s="79">
        <v>44312</v>
      </c>
    </row>
    <row r="5" spans="2:13" x14ac:dyDescent="0.3">
      <c r="B5" s="79"/>
    </row>
    <row r="6" spans="2:13" x14ac:dyDescent="0.3">
      <c r="B6" s="81" t="s">
        <v>2</v>
      </c>
      <c r="C6" s="81"/>
      <c r="D6" s="80" t="s">
        <v>3</v>
      </c>
    </row>
    <row r="7" spans="2:13" x14ac:dyDescent="0.3">
      <c r="B7" s="81" t="s">
        <v>4</v>
      </c>
      <c r="C7" s="81"/>
      <c r="D7" s="80" t="s">
        <v>5</v>
      </c>
    </row>
    <row r="9" spans="2:13" x14ac:dyDescent="0.3">
      <c r="B9" s="127" t="s">
        <v>209</v>
      </c>
      <c r="C9" s="127"/>
      <c r="D9" s="127"/>
      <c r="E9" s="127"/>
      <c r="F9" s="127"/>
      <c r="G9" s="127"/>
      <c r="H9" s="127"/>
      <c r="I9" s="127"/>
      <c r="J9" s="127"/>
      <c r="K9" s="127"/>
      <c r="L9" s="127"/>
      <c r="M9" s="127"/>
    </row>
    <row r="10" spans="2:13" ht="15" customHeight="1" x14ac:dyDescent="0.3">
      <c r="B10" s="128" t="s">
        <v>210</v>
      </c>
      <c r="C10" s="129"/>
      <c r="D10" s="129"/>
      <c r="E10" s="129"/>
      <c r="F10" s="129"/>
      <c r="G10" s="129"/>
      <c r="H10" s="129"/>
      <c r="I10" s="129"/>
      <c r="J10" s="129"/>
      <c r="K10" s="129"/>
      <c r="L10" s="129"/>
      <c r="M10" s="130"/>
    </row>
    <row r="11" spans="2:13" x14ac:dyDescent="0.3">
      <c r="B11" s="131"/>
      <c r="C11" s="132"/>
      <c r="D11" s="132"/>
      <c r="E11" s="132"/>
      <c r="F11" s="132"/>
      <c r="G11" s="132"/>
      <c r="H11" s="132"/>
      <c r="I11" s="132"/>
      <c r="J11" s="132"/>
      <c r="K11" s="132"/>
      <c r="L11" s="132"/>
      <c r="M11" s="133"/>
    </row>
    <row r="12" spans="2:13" x14ac:dyDescent="0.3">
      <c r="B12" s="134"/>
      <c r="C12" s="135"/>
      <c r="D12" s="135"/>
      <c r="E12" s="135"/>
      <c r="F12" s="135"/>
      <c r="G12" s="135"/>
      <c r="H12" s="135"/>
      <c r="I12" s="135"/>
      <c r="J12" s="135"/>
      <c r="K12" s="135"/>
      <c r="L12" s="135"/>
      <c r="M12" s="136"/>
    </row>
    <row r="13" spans="2:13" x14ac:dyDescent="0.3">
      <c r="B13" s="128" t="s">
        <v>6</v>
      </c>
      <c r="C13" s="129"/>
      <c r="D13" s="129"/>
      <c r="E13" s="129"/>
      <c r="F13" s="129"/>
      <c r="G13" s="129"/>
      <c r="H13" s="129"/>
      <c r="I13" s="129"/>
      <c r="J13" s="129"/>
      <c r="K13" s="129"/>
      <c r="L13" s="129"/>
      <c r="M13" s="130"/>
    </row>
    <row r="14" spans="2:13" ht="15" customHeight="1" x14ac:dyDescent="0.3">
      <c r="B14" s="134"/>
      <c r="C14" s="135"/>
      <c r="D14" s="135"/>
      <c r="E14" s="135"/>
      <c r="F14" s="135"/>
      <c r="G14" s="135"/>
      <c r="H14" s="135"/>
      <c r="I14" s="135"/>
      <c r="J14" s="135"/>
      <c r="K14" s="135"/>
      <c r="L14" s="135"/>
      <c r="M14" s="136"/>
    </row>
    <row r="16" spans="2:13" x14ac:dyDescent="0.3">
      <c r="B16" s="6" t="s">
        <v>7</v>
      </c>
    </row>
    <row r="17" spans="2:10" x14ac:dyDescent="0.3">
      <c r="B17" s="126" t="s">
        <v>8</v>
      </c>
      <c r="C17" s="137" t="s">
        <v>9</v>
      </c>
      <c r="D17" s="137" t="s">
        <v>10</v>
      </c>
      <c r="E17" s="137" t="s">
        <v>11</v>
      </c>
      <c r="F17" s="126" t="s">
        <v>12</v>
      </c>
      <c r="G17" s="126"/>
      <c r="H17" s="126"/>
      <c r="I17" s="86" t="s">
        <v>13</v>
      </c>
      <c r="J17" s="137" t="s">
        <v>14</v>
      </c>
    </row>
    <row r="18" spans="2:10" ht="43.2" x14ac:dyDescent="0.3">
      <c r="B18" s="126"/>
      <c r="C18" s="137"/>
      <c r="D18" s="137"/>
      <c r="E18" s="137"/>
      <c r="F18" s="87" t="s">
        <v>15</v>
      </c>
      <c r="G18" s="87" t="s">
        <v>16</v>
      </c>
      <c r="H18" s="87" t="s">
        <v>17</v>
      </c>
      <c r="I18" s="87" t="s">
        <v>18</v>
      </c>
      <c r="J18" s="137"/>
    </row>
    <row r="19" spans="2:10" x14ac:dyDescent="0.3">
      <c r="B19" s="114">
        <v>1</v>
      </c>
      <c r="C19" s="9" t="s">
        <v>19</v>
      </c>
      <c r="D19" s="9" t="s">
        <v>20</v>
      </c>
      <c r="E19" s="82">
        <v>20000</v>
      </c>
      <c r="F19" s="83" t="e">
        <f>#REF!</f>
        <v>#REF!</v>
      </c>
      <c r="G19" s="83" t="e">
        <f>#REF!</f>
        <v>#REF!</v>
      </c>
      <c r="H19" s="84" t="e">
        <f>#REF!</f>
        <v>#REF!</v>
      </c>
      <c r="I19" s="84" t="e">
        <f>#REF!</f>
        <v>#REF!</v>
      </c>
      <c r="J19" s="85" t="e">
        <f>(H19-I19)/H19</f>
        <v>#REF!</v>
      </c>
    </row>
    <row r="20" spans="2:10" x14ac:dyDescent="0.3">
      <c r="B20" s="114">
        <v>2</v>
      </c>
      <c r="C20" s="9" t="s">
        <v>19</v>
      </c>
      <c r="D20" s="9" t="s">
        <v>20</v>
      </c>
      <c r="E20" s="82">
        <v>7500</v>
      </c>
      <c r="F20" s="83" t="e">
        <f>#REF!</f>
        <v>#REF!</v>
      </c>
      <c r="G20" s="83" t="e">
        <f>#REF!</f>
        <v>#REF!</v>
      </c>
      <c r="H20" s="84" t="e">
        <f>#REF!</f>
        <v>#REF!</v>
      </c>
      <c r="I20" s="84" t="e">
        <f>#REF!</f>
        <v>#REF!</v>
      </c>
      <c r="J20" s="85" t="e">
        <f t="shared" ref="J20:J29" si="0">(H20-I20)/H20</f>
        <v>#REF!</v>
      </c>
    </row>
    <row r="21" spans="2:10" x14ac:dyDescent="0.3">
      <c r="B21" s="114">
        <v>3</v>
      </c>
      <c r="C21" s="9" t="s">
        <v>19</v>
      </c>
      <c r="D21" s="9" t="s">
        <v>20</v>
      </c>
      <c r="E21" s="82">
        <v>4000</v>
      </c>
      <c r="F21" s="83" t="e">
        <f>#REF!</f>
        <v>#REF!</v>
      </c>
      <c r="G21" s="83" t="e">
        <f>#REF!</f>
        <v>#REF!</v>
      </c>
      <c r="H21" s="84" t="e">
        <f>#REF!</f>
        <v>#REF!</v>
      </c>
      <c r="I21" s="84" t="e">
        <f>#REF!</f>
        <v>#REF!</v>
      </c>
      <c r="J21" s="85" t="e">
        <f t="shared" si="0"/>
        <v>#REF!</v>
      </c>
    </row>
    <row r="22" spans="2:10" x14ac:dyDescent="0.3">
      <c r="B22" s="114">
        <v>4</v>
      </c>
      <c r="C22" s="9" t="s">
        <v>19</v>
      </c>
      <c r="D22" s="9" t="s">
        <v>21</v>
      </c>
      <c r="E22" s="82">
        <v>20000</v>
      </c>
      <c r="F22" s="83" t="e">
        <f>#REF!</f>
        <v>#REF!</v>
      </c>
      <c r="G22" s="83" t="e">
        <f>#REF!</f>
        <v>#REF!</v>
      </c>
      <c r="H22" s="84" t="e">
        <f>#REF!</f>
        <v>#REF!</v>
      </c>
      <c r="I22" s="84" t="e">
        <f>#REF!</f>
        <v>#REF!</v>
      </c>
      <c r="J22" s="85" t="e">
        <f t="shared" si="0"/>
        <v>#REF!</v>
      </c>
    </row>
    <row r="23" spans="2:10" x14ac:dyDescent="0.3">
      <c r="B23" s="114">
        <v>5</v>
      </c>
      <c r="C23" s="9" t="s">
        <v>19</v>
      </c>
      <c r="D23" s="9" t="s">
        <v>21</v>
      </c>
      <c r="E23" s="82">
        <v>7500</v>
      </c>
      <c r="F23" s="83" t="e">
        <f>#REF!</f>
        <v>#REF!</v>
      </c>
      <c r="G23" s="83" t="e">
        <f>#REF!</f>
        <v>#REF!</v>
      </c>
      <c r="H23" s="84" t="e">
        <f>#REF!</f>
        <v>#REF!</v>
      </c>
      <c r="I23" s="84" t="e">
        <f>#REF!</f>
        <v>#REF!</v>
      </c>
      <c r="J23" s="85" t="e">
        <f t="shared" si="0"/>
        <v>#REF!</v>
      </c>
    </row>
    <row r="24" spans="2:10" x14ac:dyDescent="0.3">
      <c r="B24" s="114">
        <v>6</v>
      </c>
      <c r="C24" s="9" t="s">
        <v>19</v>
      </c>
      <c r="D24" s="9" t="s">
        <v>22</v>
      </c>
      <c r="E24" s="82">
        <v>20000</v>
      </c>
      <c r="F24" s="83" t="e">
        <f>#REF!</f>
        <v>#REF!</v>
      </c>
      <c r="G24" s="83" t="e">
        <f>#REF!</f>
        <v>#REF!</v>
      </c>
      <c r="H24" s="84" t="e">
        <f>#REF!</f>
        <v>#REF!</v>
      </c>
      <c r="I24" s="84" t="e">
        <f>#REF!</f>
        <v>#REF!</v>
      </c>
      <c r="J24" s="85" t="e">
        <f t="shared" si="0"/>
        <v>#REF!</v>
      </c>
    </row>
    <row r="25" spans="2:10" x14ac:dyDescent="0.3">
      <c r="B25" s="114">
        <v>7</v>
      </c>
      <c r="C25" s="9" t="s">
        <v>19</v>
      </c>
      <c r="D25" s="9" t="s">
        <v>22</v>
      </c>
      <c r="E25" s="82">
        <v>7500</v>
      </c>
      <c r="F25" s="83" t="e">
        <f>#REF!</f>
        <v>#REF!</v>
      </c>
      <c r="G25" s="83" t="e">
        <f>#REF!</f>
        <v>#REF!</v>
      </c>
      <c r="H25" s="84" t="e">
        <f>#REF!</f>
        <v>#REF!</v>
      </c>
      <c r="I25" s="84" t="e">
        <f>#REF!</f>
        <v>#REF!</v>
      </c>
      <c r="J25" s="85" t="e">
        <f t="shared" si="0"/>
        <v>#REF!</v>
      </c>
    </row>
    <row r="26" spans="2:10" x14ac:dyDescent="0.3">
      <c r="B26" s="114">
        <v>8</v>
      </c>
      <c r="C26" s="9" t="s">
        <v>23</v>
      </c>
      <c r="D26" s="9" t="s">
        <v>20</v>
      </c>
      <c r="E26" s="82">
        <v>8000</v>
      </c>
      <c r="F26" s="83" t="e">
        <f>#REF!</f>
        <v>#REF!</v>
      </c>
      <c r="G26" s="83" t="e">
        <f>#REF!</f>
        <v>#REF!</v>
      </c>
      <c r="H26" s="84" t="e">
        <f>#REF!</f>
        <v>#REF!</v>
      </c>
      <c r="I26" s="84" t="e">
        <f>#REF!</f>
        <v>#REF!</v>
      </c>
      <c r="J26" s="85" t="e">
        <f t="shared" si="0"/>
        <v>#REF!</v>
      </c>
    </row>
    <row r="27" spans="2:10" x14ac:dyDescent="0.3">
      <c r="B27" s="114">
        <v>9</v>
      </c>
      <c r="C27" s="9" t="s">
        <v>23</v>
      </c>
      <c r="D27" s="9" t="s">
        <v>20</v>
      </c>
      <c r="E27" s="82">
        <v>7500</v>
      </c>
      <c r="F27" s="83" t="e">
        <f>#REF!</f>
        <v>#REF!</v>
      </c>
      <c r="G27" s="83" t="e">
        <f>#REF!</f>
        <v>#REF!</v>
      </c>
      <c r="H27" s="84" t="e">
        <f>#REF!</f>
        <v>#REF!</v>
      </c>
      <c r="I27" s="84" t="e">
        <f>#REF!</f>
        <v>#REF!</v>
      </c>
      <c r="J27" s="85" t="e">
        <f t="shared" si="0"/>
        <v>#REF!</v>
      </c>
    </row>
    <row r="28" spans="2:10" x14ac:dyDescent="0.3">
      <c r="B28" s="114">
        <v>10</v>
      </c>
      <c r="C28" s="9" t="s">
        <v>24</v>
      </c>
      <c r="D28" s="9" t="s">
        <v>20</v>
      </c>
      <c r="E28" s="82">
        <v>20000</v>
      </c>
      <c r="F28" s="83" t="e">
        <f>#REF!</f>
        <v>#REF!</v>
      </c>
      <c r="G28" s="83" t="e">
        <f>#REF!</f>
        <v>#REF!</v>
      </c>
      <c r="H28" s="84" t="e">
        <f>#REF!</f>
        <v>#REF!</v>
      </c>
      <c r="I28" s="84" t="e">
        <f>#REF!</f>
        <v>#REF!</v>
      </c>
      <c r="J28" s="85" t="e">
        <f t="shared" si="0"/>
        <v>#REF!</v>
      </c>
    </row>
    <row r="29" spans="2:10" x14ac:dyDescent="0.3">
      <c r="B29" s="114">
        <v>11</v>
      </c>
      <c r="C29" s="9" t="s">
        <v>24</v>
      </c>
      <c r="D29" s="9" t="s">
        <v>21</v>
      </c>
      <c r="E29" s="82">
        <v>20000</v>
      </c>
      <c r="F29" s="83" t="e">
        <f>#REF!</f>
        <v>#REF!</v>
      </c>
      <c r="G29" s="83" t="e">
        <f>#REF!</f>
        <v>#REF!</v>
      </c>
      <c r="H29" s="84" t="e">
        <f>#REF!</f>
        <v>#REF!</v>
      </c>
      <c r="I29" s="84" t="e">
        <f>#REF!</f>
        <v>#REF!</v>
      </c>
      <c r="J29" s="85" t="e">
        <f t="shared" si="0"/>
        <v>#REF!</v>
      </c>
    </row>
  </sheetData>
  <mergeCells count="9">
    <mergeCell ref="B17:B18"/>
    <mergeCell ref="B9:M9"/>
    <mergeCell ref="B10:M12"/>
    <mergeCell ref="B13:M14"/>
    <mergeCell ref="F17:H17"/>
    <mergeCell ref="E17:E18"/>
    <mergeCell ref="J17:J18"/>
    <mergeCell ref="D17:D18"/>
    <mergeCell ref="C17:C18"/>
  </mergeCells>
  <hyperlinks>
    <hyperlink ref="D6" r:id="rId1" xr:uid="{77BA7CFB-BCE6-4E2C-A818-DF84E738CBC7}"/>
    <hyperlink ref="D7" r:id="rId2" xr:uid="{C95BD356-E958-4287-9464-355FF96835E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0CD16-ED08-4E73-BC16-F915C7BF3C6E}">
  <sheetPr>
    <tabColor theme="9" tint="0.79998168889431442"/>
  </sheetPr>
  <dimension ref="A4:AA138"/>
  <sheetViews>
    <sheetView showGridLines="0" tabSelected="1" topLeftCell="A22" zoomScale="90" zoomScaleNormal="90" workbookViewId="0">
      <selection activeCell="H45" sqref="H45"/>
    </sheetView>
  </sheetViews>
  <sheetFormatPr defaultRowHeight="14.4" x14ac:dyDescent="0.3"/>
  <cols>
    <col min="3" max="3" width="11.6640625" customWidth="1"/>
    <col min="5" max="5" width="14.6640625" customWidth="1"/>
    <col min="6" max="6" width="14.44140625" customWidth="1"/>
    <col min="7" max="7" width="12.88671875" bestFit="1" customWidth="1"/>
    <col min="8" max="8" width="16.88671875" customWidth="1"/>
    <col min="10" max="10" width="49.6640625" customWidth="1"/>
    <col min="11" max="11" width="9.6640625" customWidth="1"/>
    <col min="13" max="13" width="14.5546875" customWidth="1"/>
    <col min="14" max="14" width="12.109375" customWidth="1"/>
    <col min="15" max="15" width="16.109375" customWidth="1"/>
    <col min="16" max="16" width="15.44140625" customWidth="1"/>
    <col min="20" max="20" width="48.44140625" customWidth="1"/>
    <col min="21" max="21" width="10.109375" customWidth="1"/>
    <col min="22" max="22" width="18.44140625" bestFit="1" customWidth="1"/>
    <col min="25" max="25" width="18.44140625" bestFit="1" customWidth="1"/>
  </cols>
  <sheetData>
    <row r="4" spans="2:10" x14ac:dyDescent="0.3">
      <c r="E4" s="33" t="s">
        <v>25</v>
      </c>
      <c r="J4" t="s">
        <v>26</v>
      </c>
    </row>
    <row r="5" spans="2:10" x14ac:dyDescent="0.3">
      <c r="B5" s="144" t="s">
        <v>27</v>
      </c>
      <c r="C5" s="145"/>
      <c r="D5" s="145"/>
      <c r="E5" s="146"/>
      <c r="F5" s="156" t="s">
        <v>28</v>
      </c>
      <c r="G5" s="157"/>
      <c r="J5" s="44" t="s">
        <v>29</v>
      </c>
    </row>
    <row r="6" spans="2:10" x14ac:dyDescent="0.3">
      <c r="B6" s="144" t="s">
        <v>30</v>
      </c>
      <c r="C6" s="145"/>
      <c r="D6" s="145"/>
      <c r="E6" s="146"/>
      <c r="F6" s="158" t="s">
        <v>20</v>
      </c>
      <c r="G6" s="158"/>
      <c r="J6" s="49" t="s">
        <v>31</v>
      </c>
    </row>
    <row r="7" spans="2:10" x14ac:dyDescent="0.3">
      <c r="B7" s="144" t="s">
        <v>32</v>
      </c>
      <c r="C7" s="145"/>
      <c r="D7" s="145"/>
      <c r="E7" s="146"/>
      <c r="F7" s="156" t="s">
        <v>33</v>
      </c>
      <c r="G7" s="157"/>
      <c r="J7" s="50" t="s">
        <v>34</v>
      </c>
    </row>
    <row r="8" spans="2:10" x14ac:dyDescent="0.3">
      <c r="B8" s="144"/>
      <c r="C8" s="145"/>
      <c r="D8" s="145"/>
      <c r="E8" s="146"/>
      <c r="F8" s="147" t="s">
        <v>35</v>
      </c>
      <c r="G8" s="147"/>
      <c r="J8" s="51" t="s">
        <v>36</v>
      </c>
    </row>
    <row r="9" spans="2:10" x14ac:dyDescent="0.3">
      <c r="B9" s="144" t="s">
        <v>37</v>
      </c>
      <c r="C9" s="145"/>
      <c r="D9" s="145"/>
      <c r="E9" s="146"/>
      <c r="F9" s="159" t="s">
        <v>45</v>
      </c>
      <c r="G9" s="159"/>
    </row>
    <row r="10" spans="2:10" x14ac:dyDescent="0.3">
      <c r="B10" s="144" t="s">
        <v>39</v>
      </c>
      <c r="C10" s="145"/>
      <c r="D10" s="145"/>
      <c r="E10" s="146"/>
      <c r="F10" s="154" t="s">
        <v>140</v>
      </c>
      <c r="G10" s="154"/>
    </row>
    <row r="11" spans="2:10" x14ac:dyDescent="0.3">
      <c r="B11" s="144" t="s">
        <v>41</v>
      </c>
      <c r="C11" s="145"/>
      <c r="D11" s="145"/>
      <c r="E11" s="146"/>
      <c r="F11" s="154">
        <v>30000</v>
      </c>
      <c r="G11" s="154"/>
    </row>
    <row r="13" spans="2:10" x14ac:dyDescent="0.3">
      <c r="E13" s="43" t="s">
        <v>211</v>
      </c>
      <c r="F13" s="160" t="s">
        <v>45</v>
      </c>
      <c r="G13" s="160"/>
    </row>
    <row r="14" spans="2:10" x14ac:dyDescent="0.3">
      <c r="E14" s="43" t="s">
        <v>70</v>
      </c>
      <c r="F14" s="160" t="s">
        <v>38</v>
      </c>
      <c r="G14" s="160"/>
    </row>
    <row r="15" spans="2:10" x14ac:dyDescent="0.3">
      <c r="E15" s="43" t="s">
        <v>212</v>
      </c>
      <c r="F15" s="160" t="s">
        <v>45</v>
      </c>
      <c r="G15" s="160"/>
    </row>
    <row r="16" spans="2:10" x14ac:dyDescent="0.3">
      <c r="E16" s="43" t="s">
        <v>44</v>
      </c>
      <c r="F16" s="160" t="s">
        <v>45</v>
      </c>
      <c r="G16" s="160"/>
    </row>
    <row r="17" spans="2:13" x14ac:dyDescent="0.3">
      <c r="E17" s="43" t="s">
        <v>47</v>
      </c>
      <c r="F17" s="160" t="s">
        <v>38</v>
      </c>
      <c r="G17" s="160"/>
    </row>
    <row r="18" spans="2:13" x14ac:dyDescent="0.3">
      <c r="E18" s="43" t="s">
        <v>49</v>
      </c>
      <c r="F18" s="160" t="s">
        <v>45</v>
      </c>
      <c r="G18" s="160"/>
    </row>
    <row r="19" spans="2:13" x14ac:dyDescent="0.3">
      <c r="E19" s="43" t="s">
        <v>51</v>
      </c>
      <c r="F19" s="160" t="s">
        <v>38</v>
      </c>
      <c r="G19" s="160"/>
      <c r="J19" s="68"/>
    </row>
    <row r="20" spans="2:13" x14ac:dyDescent="0.3">
      <c r="E20" s="43" t="s">
        <v>53</v>
      </c>
      <c r="F20" s="160" t="s">
        <v>38</v>
      </c>
      <c r="G20" s="160"/>
    </row>
    <row r="21" spans="2:13" x14ac:dyDescent="0.3">
      <c r="E21" s="112" t="s">
        <v>46</v>
      </c>
      <c r="F21" s="154" t="s">
        <v>45</v>
      </c>
      <c r="G21" s="154"/>
      <c r="J21" s="47"/>
    </row>
    <row r="22" spans="2:13" x14ac:dyDescent="0.3">
      <c r="E22" s="112" t="s">
        <v>48</v>
      </c>
      <c r="F22" s="154" t="s">
        <v>38</v>
      </c>
      <c r="G22" s="154"/>
    </row>
    <row r="23" spans="2:13" x14ac:dyDescent="0.3">
      <c r="E23" s="112" t="s">
        <v>50</v>
      </c>
      <c r="F23" s="154" t="s">
        <v>38</v>
      </c>
      <c r="G23" s="154"/>
    </row>
    <row r="24" spans="2:13" x14ac:dyDescent="0.3">
      <c r="E24" s="118"/>
    </row>
    <row r="25" spans="2:13" ht="18" x14ac:dyDescent="0.35">
      <c r="E25" s="70" t="s">
        <v>54</v>
      </c>
    </row>
    <row r="27" spans="2:13" x14ac:dyDescent="0.3">
      <c r="E27" s="46" t="s">
        <v>55</v>
      </c>
      <c r="J27" s="46" t="s">
        <v>56</v>
      </c>
    </row>
    <row r="29" spans="2:13" x14ac:dyDescent="0.3">
      <c r="B29" s="141" t="s">
        <v>57</v>
      </c>
      <c r="C29" s="142"/>
      <c r="D29" s="142"/>
      <c r="E29" s="143"/>
      <c r="F29" s="59">
        <f>IF(F6="MZ-VAV",F11*0.0015,F11*0.0011)</f>
        <v>45</v>
      </c>
    </row>
    <row r="30" spans="2:13" x14ac:dyDescent="0.3">
      <c r="B30" s="141" t="s">
        <v>58</v>
      </c>
      <c r="C30" s="142"/>
      <c r="D30" s="142"/>
      <c r="E30" s="143"/>
      <c r="F30" s="65">
        <f>SMALL($S$78:$S$102,COUNTIF($S$78:$S$102,"&lt;="&amp;F29))</f>
        <v>40</v>
      </c>
    </row>
    <row r="32" spans="2:13" ht="43.2" x14ac:dyDescent="0.3">
      <c r="B32" s="141" t="s">
        <v>59</v>
      </c>
      <c r="C32" s="142"/>
      <c r="D32" s="142"/>
      <c r="E32" s="143"/>
      <c r="F32" s="60" t="s">
        <v>60</v>
      </c>
      <c r="G32" s="60" t="s">
        <v>61</v>
      </c>
      <c r="H32" s="60" t="s">
        <v>62</v>
      </c>
      <c r="J32" s="113" t="s">
        <v>63</v>
      </c>
      <c r="K32" s="60" t="s">
        <v>64</v>
      </c>
      <c r="L32" s="64" t="s">
        <v>65</v>
      </c>
      <c r="M32" s="60" t="s">
        <v>66</v>
      </c>
    </row>
    <row r="33" spans="2:27" ht="15" customHeight="1" x14ac:dyDescent="0.3">
      <c r="B33" s="138" t="s">
        <v>67</v>
      </c>
      <c r="C33" s="139"/>
      <c r="D33" s="139"/>
      <c r="E33" s="140"/>
      <c r="F33" s="38">
        <f>F11</f>
        <v>30000</v>
      </c>
      <c r="G33" s="39" t="s">
        <v>68</v>
      </c>
      <c r="H33" s="42">
        <f>IF(F6="MZ-VAV",F33*0.0013,F33*0.00094)</f>
        <v>39</v>
      </c>
      <c r="J33" s="61" t="s">
        <v>69</v>
      </c>
      <c r="K33" s="62">
        <f>F11</f>
        <v>30000</v>
      </c>
      <c r="L33" s="63">
        <f t="shared" ref="L33:L42" si="0">IF(AND(F$6="MZ-VAV",F$11&gt;10000),U37,IF(AND(F$6="MZ-VAV",F$11&lt;=10000,F$11&gt;5000),V37,IF(F$6="MZ-VAV",W37,IF(F$11&gt;10000,X37,IF(AND(F$11&lt;=10000,F$11&gt;5000),Y37,Z37)))))</f>
        <v>0.480042192663232</v>
      </c>
      <c r="M33" s="63">
        <f>K33*L33/1000</f>
        <v>14.40126577989696</v>
      </c>
    </row>
    <row r="34" spans="2:27" ht="15" customHeight="1" x14ac:dyDescent="0.3">
      <c r="B34" s="138" t="s">
        <v>70</v>
      </c>
      <c r="C34" s="139"/>
      <c r="D34" s="139"/>
      <c r="E34" s="140"/>
      <c r="F34" s="38">
        <f>IF(F14=X79,F11,0)</f>
        <v>0</v>
      </c>
      <c r="G34" s="40">
        <v>0.5</v>
      </c>
      <c r="H34" s="42">
        <f>G34*F34/4131</f>
        <v>0</v>
      </c>
      <c r="J34" s="110" t="s">
        <v>71</v>
      </c>
      <c r="K34" s="57">
        <f>IF(OR(F13=X79,F14=X79),F11,0)</f>
        <v>30000</v>
      </c>
      <c r="L34" s="58">
        <f t="shared" si="0"/>
        <v>7.3260688213430791E-2</v>
      </c>
      <c r="M34" s="58">
        <f t="shared" ref="M34:M44" si="1">K34*L34/1000</f>
        <v>2.1978206464029237</v>
      </c>
      <c r="V34" s="155" t="s">
        <v>72</v>
      </c>
      <c r="W34" s="155"/>
      <c r="X34" s="155"/>
      <c r="Y34" s="155" t="s">
        <v>73</v>
      </c>
      <c r="Z34" s="155"/>
      <c r="AA34" s="155"/>
    </row>
    <row r="35" spans="2:27" ht="15" customHeight="1" x14ac:dyDescent="0.3">
      <c r="B35" s="138" t="s">
        <v>74</v>
      </c>
      <c r="C35" s="139"/>
      <c r="D35" s="139"/>
      <c r="E35" s="140"/>
      <c r="F35" s="38">
        <f>IF(F15=X79,F11,0)</f>
        <v>30000</v>
      </c>
      <c r="G35" s="40">
        <v>0.9</v>
      </c>
      <c r="H35" s="74">
        <f>G35*F35/4131</f>
        <v>6.5359477124183005</v>
      </c>
      <c r="J35" s="110" t="s">
        <v>75</v>
      </c>
      <c r="K35" s="57">
        <f>IF(F15=X79,F11,0)</f>
        <v>30000</v>
      </c>
      <c r="L35" s="58">
        <f t="shared" si="0"/>
        <v>0.16544989147165456</v>
      </c>
      <c r="M35" s="58">
        <f t="shared" si="1"/>
        <v>4.9634967441496372</v>
      </c>
      <c r="T35" t="s">
        <v>76</v>
      </c>
      <c r="U35" s="107" t="s">
        <v>77</v>
      </c>
      <c r="V35" s="107" t="s">
        <v>78</v>
      </c>
      <c r="W35" s="107" t="s">
        <v>79</v>
      </c>
      <c r="X35" s="107" t="s">
        <v>77</v>
      </c>
      <c r="Y35" s="107" t="s">
        <v>78</v>
      </c>
      <c r="Z35" s="107" t="s">
        <v>79</v>
      </c>
    </row>
    <row r="36" spans="2:27" ht="15" customHeight="1" x14ac:dyDescent="0.3">
      <c r="B36" s="138" t="s">
        <v>80</v>
      </c>
      <c r="C36" s="139"/>
      <c r="D36" s="139"/>
      <c r="E36" s="140"/>
      <c r="F36" s="73">
        <f>IF(F20=X79,F11,0)</f>
        <v>0</v>
      </c>
      <c r="G36" s="40">
        <f>2.2*0.625-0.5</f>
        <v>0.875</v>
      </c>
      <c r="H36" s="74">
        <f t="shared" ref="H36:H40" si="2">G36*F36/4131</f>
        <v>0</v>
      </c>
      <c r="J36" s="110" t="s">
        <v>81</v>
      </c>
      <c r="K36" s="57">
        <f>IF(F13=Z81,$F$11,0)</f>
        <v>0</v>
      </c>
      <c r="L36" s="58">
        <f t="shared" si="0"/>
        <v>0.18400785485257742</v>
      </c>
      <c r="M36" s="58">
        <f t="shared" si="1"/>
        <v>0</v>
      </c>
      <c r="N36" s="107"/>
      <c r="O36" s="107"/>
      <c r="P36" s="107"/>
      <c r="Q36" s="107"/>
      <c r="R36" s="107"/>
    </row>
    <row r="37" spans="2:27" ht="15" customHeight="1" x14ac:dyDescent="0.3">
      <c r="B37" s="138" t="s">
        <v>82</v>
      </c>
      <c r="C37" s="139"/>
      <c r="D37" s="139"/>
      <c r="E37" s="140"/>
      <c r="F37" s="73">
        <f>IF(F20=X79,F11,0)</f>
        <v>0</v>
      </c>
      <c r="G37" s="40">
        <v>0.875</v>
      </c>
      <c r="H37" s="74">
        <f t="shared" si="2"/>
        <v>0</v>
      </c>
      <c r="J37" s="110" t="s">
        <v>44</v>
      </c>
      <c r="K37" s="57">
        <f>IF(F16=$X$79,F11,0)</f>
        <v>30000</v>
      </c>
      <c r="L37" s="58">
        <f t="shared" si="0"/>
        <v>0.11002795027521339</v>
      </c>
      <c r="M37" s="58">
        <f t="shared" si="1"/>
        <v>3.300838508256402</v>
      </c>
      <c r="N37" s="3"/>
      <c r="O37" s="3"/>
      <c r="P37" s="3"/>
      <c r="Q37" s="3"/>
      <c r="R37" s="3"/>
      <c r="T37" t="s">
        <v>83</v>
      </c>
      <c r="U37" s="30">
        <v>0.480042192663232</v>
      </c>
      <c r="V37" s="30">
        <v>0.47247114743046226</v>
      </c>
      <c r="W37" s="30">
        <v>0.41298194814204048</v>
      </c>
      <c r="X37" s="30">
        <v>0.24829908242469739</v>
      </c>
      <c r="Y37" s="30">
        <v>0.26699447351984884</v>
      </c>
      <c r="Z37" s="30">
        <v>0.24303028515175154</v>
      </c>
    </row>
    <row r="38" spans="2:27" ht="15" customHeight="1" x14ac:dyDescent="0.3">
      <c r="B38" s="138" t="s">
        <v>84</v>
      </c>
      <c r="C38" s="139"/>
      <c r="D38" s="139"/>
      <c r="E38" s="140"/>
      <c r="F38" s="73">
        <f>IF(F16=X78,F11,0)</f>
        <v>0</v>
      </c>
      <c r="G38" s="40">
        <v>-0.6</v>
      </c>
      <c r="H38" s="74">
        <f t="shared" si="2"/>
        <v>0</v>
      </c>
      <c r="J38" s="110" t="s">
        <v>47</v>
      </c>
      <c r="K38" s="57">
        <f>IF(F17=$X$79,F11,0)</f>
        <v>0</v>
      </c>
      <c r="L38" s="58">
        <f t="shared" si="0"/>
        <v>5.4919338675234686E-2</v>
      </c>
      <c r="M38" s="58">
        <f t="shared" si="1"/>
        <v>0</v>
      </c>
      <c r="N38" s="3"/>
      <c r="O38" s="3"/>
      <c r="P38" s="3"/>
      <c r="Q38" s="3"/>
      <c r="R38" s="3"/>
      <c r="T38" t="s">
        <v>85</v>
      </c>
      <c r="U38" s="30">
        <v>7.3260688213430791E-2</v>
      </c>
      <c r="V38" s="30">
        <v>7.9265464074544267E-2</v>
      </c>
      <c r="W38" s="30">
        <v>9.394659388927229E-2</v>
      </c>
      <c r="X38" s="30">
        <v>7.5394943815769111E-2</v>
      </c>
      <c r="Y38" s="30">
        <v>8.3644003518010157E-2</v>
      </c>
      <c r="Z38" s="30">
        <v>9.7212114060700655E-2</v>
      </c>
    </row>
    <row r="39" spans="2:27" ht="15" customHeight="1" x14ac:dyDescent="0.3">
      <c r="B39" s="138" t="s">
        <v>86</v>
      </c>
      <c r="C39" s="139"/>
      <c r="D39" s="139"/>
      <c r="E39" s="140"/>
      <c r="F39" s="38">
        <f>IF(AND(F17=X78,F18=X78,F19=X78),F11,0)</f>
        <v>0</v>
      </c>
      <c r="G39" s="40">
        <v>-0.3</v>
      </c>
      <c r="H39" s="42">
        <f t="shared" si="2"/>
        <v>0</v>
      </c>
      <c r="J39" s="110" t="s">
        <v>87</v>
      </c>
      <c r="K39" s="57">
        <f>IF(F18=$X$79,F11,0)</f>
        <v>30000</v>
      </c>
      <c r="L39" s="58">
        <f t="shared" si="0"/>
        <v>7.3260688213430791E-2</v>
      </c>
      <c r="M39" s="58">
        <f t="shared" si="1"/>
        <v>2.1978206464029237</v>
      </c>
      <c r="N39" s="3"/>
      <c r="O39" s="3"/>
      <c r="P39" s="3"/>
      <c r="Q39" s="3"/>
      <c r="R39" s="3"/>
      <c r="T39" t="s">
        <v>88</v>
      </c>
      <c r="U39" s="30">
        <v>0.16544989147165456</v>
      </c>
      <c r="V39" s="30">
        <v>0.17662576240254202</v>
      </c>
      <c r="W39" s="30">
        <v>0.20986202636591322</v>
      </c>
      <c r="X39" s="30">
        <v>0.16767207082659175</v>
      </c>
      <c r="Y39" s="30">
        <v>0.18543500810488656</v>
      </c>
      <c r="Z39" s="30">
        <v>0.21706458534324582</v>
      </c>
    </row>
    <row r="40" spans="2:27" ht="15" customHeight="1" x14ac:dyDescent="0.3">
      <c r="B40" s="138" t="s">
        <v>89</v>
      </c>
      <c r="C40" s="139"/>
      <c r="D40" s="139"/>
      <c r="E40" s="140"/>
      <c r="F40" s="38">
        <f>IF(F19=X79,F11,0)</f>
        <v>0</v>
      </c>
      <c r="G40" s="40">
        <v>-0.2</v>
      </c>
      <c r="H40" s="42">
        <f t="shared" si="2"/>
        <v>0</v>
      </c>
      <c r="J40" s="110" t="s">
        <v>51</v>
      </c>
      <c r="K40" s="57">
        <f>IF(F19=$X$79,F11,0)</f>
        <v>0</v>
      </c>
      <c r="L40" s="58">
        <f t="shared" si="0"/>
        <v>3.6599443526147635E-2</v>
      </c>
      <c r="M40" s="58">
        <f t="shared" si="1"/>
        <v>0</v>
      </c>
      <c r="N40" s="3"/>
      <c r="O40" s="3"/>
      <c r="P40" s="3"/>
      <c r="Q40" s="3"/>
      <c r="R40" s="3"/>
      <c r="T40" t="s">
        <v>90</v>
      </c>
      <c r="U40" s="30">
        <v>0.18400785485257742</v>
      </c>
      <c r="V40" s="30">
        <v>0.19590563731515243</v>
      </c>
      <c r="W40" s="30">
        <v>0.23285256485146011</v>
      </c>
      <c r="X40" s="30">
        <v>0.18599636767076033</v>
      </c>
      <c r="Y40" s="30">
        <v>0.20547667391061342</v>
      </c>
      <c r="Z40" s="30">
        <v>0.24051581279369563</v>
      </c>
    </row>
    <row r="41" spans="2:27" ht="15" customHeight="1" x14ac:dyDescent="0.3">
      <c r="B41" s="141" t="s">
        <v>91</v>
      </c>
      <c r="C41" s="142"/>
      <c r="D41" s="142"/>
      <c r="E41" s="143"/>
      <c r="F41" s="27"/>
      <c r="G41" s="9"/>
      <c r="H41" s="41">
        <f>SUM(H33:H40)</f>
        <v>45.535947712418299</v>
      </c>
      <c r="J41" s="110" t="s">
        <v>92</v>
      </c>
      <c r="K41" s="57">
        <f>IF(F21=$X$79,F11,0)</f>
        <v>30000</v>
      </c>
      <c r="L41" s="58">
        <f t="shared" si="0"/>
        <v>3.6599443526147635E-2</v>
      </c>
      <c r="M41" s="58">
        <f t="shared" si="1"/>
        <v>1.097983305784429</v>
      </c>
      <c r="N41" s="3"/>
      <c r="O41" s="3"/>
      <c r="P41" s="3"/>
      <c r="Q41" s="3"/>
      <c r="R41" s="3"/>
      <c r="T41" t="s">
        <v>93</v>
      </c>
      <c r="U41" s="30">
        <v>0.11002795027521339</v>
      </c>
      <c r="V41" s="30">
        <v>0.11841599136629399</v>
      </c>
      <c r="W41" s="30">
        <v>0.14050916740960107</v>
      </c>
      <c r="X41" s="30">
        <v>0.11248346336634607</v>
      </c>
      <c r="Y41" s="30">
        <v>0.12469667468357742</v>
      </c>
      <c r="Z41" s="30">
        <v>0.14581817109105091</v>
      </c>
    </row>
    <row r="42" spans="2:27" ht="15" customHeight="1" x14ac:dyDescent="0.3">
      <c r="E42" s="68"/>
      <c r="F42" s="111"/>
      <c r="G42" s="69"/>
      <c r="J42" s="110" t="s">
        <v>94</v>
      </c>
      <c r="K42" s="57">
        <f>IF(F20=$X$79,F11,0)</f>
        <v>0</v>
      </c>
      <c r="L42" s="58">
        <f t="shared" si="0"/>
        <v>0.15063497043753737</v>
      </c>
      <c r="M42" s="58">
        <f t="shared" si="1"/>
        <v>0</v>
      </c>
      <c r="N42" s="3"/>
      <c r="O42" s="3"/>
      <c r="P42" s="3"/>
      <c r="Q42" s="3"/>
      <c r="R42" s="3"/>
      <c r="T42" t="s">
        <v>95</v>
      </c>
      <c r="U42" s="30">
        <v>5.4919338675234686E-2</v>
      </c>
      <c r="V42" s="30">
        <v>4.970048602575472E-2</v>
      </c>
      <c r="W42" s="30">
        <v>4.7112922352956887E-2</v>
      </c>
      <c r="X42" s="30">
        <v>5.6722001193823923E-2</v>
      </c>
      <c r="Y42" s="30">
        <v>5.2530353108128813E-2</v>
      </c>
      <c r="Z42" s="30">
        <v>4.8606057030350286E-2</v>
      </c>
    </row>
    <row r="43" spans="2:27" ht="15" customHeight="1" x14ac:dyDescent="0.3">
      <c r="E43" s="68"/>
      <c r="F43" s="111"/>
      <c r="G43" s="69"/>
      <c r="J43" s="110" t="s">
        <v>96</v>
      </c>
      <c r="K43" s="57">
        <f>IF(F22=$X$79,F11,0)</f>
        <v>0</v>
      </c>
      <c r="L43" s="58">
        <f>IF(AND(F$6="MZ-VAV",K$33&gt;10000),U47,IF(AND(F$6="MZ-VAV",K$33&lt;=10000,K$33&gt;5000),V47,IF(F$6="MZ-VAV",W47,IF(K$33&gt;10000,X47,IF(AND(K$33&lt;=10000,K$33&gt;5000),Y47,Z47)))))</f>
        <v>3.6599443526147635E-2</v>
      </c>
      <c r="M43" s="58">
        <f t="shared" si="1"/>
        <v>0</v>
      </c>
      <c r="N43" s="3"/>
      <c r="O43" s="3"/>
      <c r="P43" s="3"/>
      <c r="Q43" s="3"/>
      <c r="R43" s="3"/>
      <c r="T43" t="s">
        <v>97</v>
      </c>
      <c r="U43" s="30">
        <v>7.3260688213430791E-2</v>
      </c>
      <c r="V43" s="30">
        <v>5.9575714976953242E-2</v>
      </c>
      <c r="W43" s="30">
        <v>7.0564149803406695E-2</v>
      </c>
      <c r="X43" s="30">
        <v>7.5394943815769111E-2</v>
      </c>
      <c r="Y43" s="30">
        <v>6.2933824902511093E-2</v>
      </c>
      <c r="Z43" s="30">
        <v>6.0757571287937878E-2</v>
      </c>
    </row>
    <row r="44" spans="2:27" ht="15" customHeight="1" x14ac:dyDescent="0.3">
      <c r="E44" s="75"/>
      <c r="J44" s="117" t="s">
        <v>98</v>
      </c>
      <c r="K44" s="57">
        <f>IF(AND(F6="SZ-VAV",F23=$X$79),F11,0)</f>
        <v>0</v>
      </c>
      <c r="L44" s="58">
        <f>IF(AND(F$6="MZ-VAV",K$33&gt;10000),U48,IF(AND(F$6="MZ-VAV",K$33&lt;=10000,K$33&gt;5000),V48,IF(F$6="MZ-VAV",W48,IF(K$33&gt;10000,X48,IF(AND(K$33&lt;=10000,K$33&gt;5000),Y48,Z48)))))</f>
        <v>0</v>
      </c>
      <c r="M44" s="58">
        <f t="shared" si="1"/>
        <v>0</v>
      </c>
      <c r="N44" s="3"/>
      <c r="O44" s="3"/>
      <c r="P44" s="3"/>
      <c r="Q44" s="3"/>
      <c r="R44" s="3"/>
      <c r="T44" t="s">
        <v>99</v>
      </c>
      <c r="U44" s="30">
        <v>3.6599443526147635E-2</v>
      </c>
      <c r="V44" s="30">
        <v>3.9804338915752746E-2</v>
      </c>
      <c r="W44" s="30">
        <v>4.7112922352956887E-2</v>
      </c>
      <c r="X44" s="30">
        <v>3.7943122962558362E-2</v>
      </c>
      <c r="Y44" s="30">
        <v>4.2093671181094416E-2</v>
      </c>
      <c r="Z44" s="30">
        <v>4.8606057030350286E-2</v>
      </c>
    </row>
    <row r="45" spans="2:27" ht="15" customHeight="1" x14ac:dyDescent="0.3">
      <c r="E45" s="75"/>
      <c r="J45" s="112"/>
      <c r="L45" s="112" t="s">
        <v>100</v>
      </c>
      <c r="M45" s="58">
        <f>SUM(M33:M44)</f>
        <v>28.159225630893275</v>
      </c>
      <c r="N45" s="3"/>
      <c r="O45" s="3"/>
      <c r="P45" s="3"/>
      <c r="Q45" s="3"/>
      <c r="R45" s="3"/>
      <c r="T45" t="s">
        <v>101</v>
      </c>
      <c r="U45" s="30">
        <v>3.6599443526147635E-2</v>
      </c>
      <c r="V45" s="30">
        <v>3.9804338915752746E-2</v>
      </c>
      <c r="W45" s="30">
        <v>4.7112922352956887E-2</v>
      </c>
      <c r="X45" s="30">
        <v>3.7943122962558362E-2</v>
      </c>
      <c r="Y45" s="30">
        <v>4.2093671181094416E-2</v>
      </c>
      <c r="Z45" s="30">
        <v>4.8606057030350286E-2</v>
      </c>
    </row>
    <row r="46" spans="2:27" ht="15" customHeight="1" x14ac:dyDescent="0.3">
      <c r="E46" s="76"/>
      <c r="F46" s="77" t="s">
        <v>102</v>
      </c>
      <c r="N46" s="3"/>
      <c r="O46" s="3"/>
      <c r="P46" s="3"/>
      <c r="Q46" s="3"/>
      <c r="R46" s="3"/>
      <c r="T46" t="s">
        <v>103</v>
      </c>
      <c r="U46" s="30">
        <v>0.15063497043753737</v>
      </c>
      <c r="V46" s="30">
        <v>0.16115925993539515</v>
      </c>
      <c r="W46" s="30">
        <v>0.19142434786833451</v>
      </c>
      <c r="X46" s="30">
        <v>0.15299240099749306</v>
      </c>
      <c r="Y46" s="30">
        <v>0.16933058830993714</v>
      </c>
      <c r="Z46" s="30">
        <v>0.19825339044193654</v>
      </c>
    </row>
    <row r="47" spans="2:27" ht="15" customHeight="1" x14ac:dyDescent="0.3">
      <c r="B47" s="138" t="s">
        <v>104</v>
      </c>
      <c r="C47" s="139"/>
      <c r="D47" s="139"/>
      <c r="E47" s="140"/>
      <c r="F47" s="116" t="s">
        <v>38</v>
      </c>
      <c r="J47" s="110" t="s">
        <v>105</v>
      </c>
      <c r="K47" s="57">
        <f>F11</f>
        <v>30000</v>
      </c>
      <c r="L47" s="58">
        <f>IF(AND(F$6="MZ-VAV",K$47&gt;10000),U51,IF(AND(F$6="MZ-VAV",K$47&lt;=10000,K$47&gt;5000),V51,IF(F$6="MZ-VAV",W51,IF(K$47&gt;10000,X51,IF(AND(K$47&lt;=10000,K$47&gt;5000),Y51,Z51)))))</f>
        <v>0.24829908242469739</v>
      </c>
      <c r="M47" s="58">
        <f t="shared" ref="M47:M49" si="3">K47*L47/1000</f>
        <v>7.4489724727409223</v>
      </c>
      <c r="N47" s="3"/>
      <c r="O47" s="3"/>
      <c r="P47" s="3"/>
      <c r="Q47" s="3"/>
      <c r="R47" s="3"/>
      <c r="T47" t="s">
        <v>106</v>
      </c>
      <c r="U47" s="30">
        <v>3.6599443526147635E-2</v>
      </c>
      <c r="V47" s="30">
        <v>3.9804338915752746E-2</v>
      </c>
      <c r="W47" s="30">
        <v>4.7112922352956887E-2</v>
      </c>
      <c r="X47" s="30">
        <v>3.7943122962558362E-2</v>
      </c>
      <c r="Y47" s="30">
        <v>4.2093671181094416E-2</v>
      </c>
      <c r="Z47" s="30">
        <v>4.8606057030350286E-2</v>
      </c>
    </row>
    <row r="48" spans="2:27" ht="15" customHeight="1" x14ac:dyDescent="0.3">
      <c r="B48" s="138" t="s">
        <v>107</v>
      </c>
      <c r="C48" s="139"/>
      <c r="D48" s="139"/>
      <c r="E48" s="140"/>
      <c r="F48" s="45" cm="1">
        <f t="array" ref="F48">INDEX($S$78:$S$102,MATCH(TRUE,$S$78:$S$102&gt;=H41,0)+IF(F47=$X$79,1,0))</f>
        <v>50</v>
      </c>
      <c r="J48" s="110" t="s">
        <v>108</v>
      </c>
      <c r="K48" s="57">
        <f>IF($K$19=$X$79,F11,0)</f>
        <v>0</v>
      </c>
      <c r="L48" s="58">
        <f>IF(AND(F$6="MZ-VAV",K$47&gt;10000),U52,IF(AND(F$6="MZ-VAV",K$47&lt;=10000,K$47&gt;5000),V52,IF(F$6="MZ-VAV",W52,IF(K$47&gt;10000,X52,IF(AND(K$47&lt;=10000,K$47&gt;5000),Y52,Z52)))))</f>
        <v>3.7943122962558362E-2</v>
      </c>
      <c r="M48" s="58">
        <f t="shared" si="3"/>
        <v>0</v>
      </c>
      <c r="N48" s="3"/>
      <c r="O48" s="3"/>
      <c r="P48" s="3"/>
      <c r="Q48" s="3"/>
      <c r="R48" s="3"/>
      <c r="T48" t="s">
        <v>109</v>
      </c>
      <c r="U48" s="30">
        <v>0</v>
      </c>
      <c r="V48" s="30">
        <v>0</v>
      </c>
      <c r="W48" s="30">
        <v>0</v>
      </c>
      <c r="X48" s="30">
        <v>9.3977336369995002E-2</v>
      </c>
      <c r="Y48" s="30">
        <v>0.10422981466087722</v>
      </c>
      <c r="Z48" s="30">
        <v>7.2909085545525415E-2</v>
      </c>
    </row>
    <row r="49" spans="2:26" ht="15" customHeight="1" x14ac:dyDescent="0.3">
      <c r="B49" s="138" t="s">
        <v>110</v>
      </c>
      <c r="C49" s="139"/>
      <c r="D49" s="139"/>
      <c r="E49" s="140"/>
      <c r="F49" s="45">
        <f>H41</f>
        <v>45.535947712418299</v>
      </c>
      <c r="J49" s="110" t="s">
        <v>111</v>
      </c>
      <c r="K49" s="57">
        <f>IF(F20=X79,F11,0)</f>
        <v>0</v>
      </c>
      <c r="L49" s="58">
        <f>IF(AND(F$6="MZ-VAV",K$47&gt;10000),U53,IF(AND(F$6="MZ-VAV",K$47&lt;=10000,K$47&gt;5000),V53,IF(F$6="MZ-VAV",W53,IF(K$47&gt;10000,X53,IF(AND(K$47&lt;=10000,K$47&gt;5000),Y53,Z53)))))</f>
        <v>0.15299240099749306</v>
      </c>
      <c r="M49" s="58">
        <f t="shared" si="3"/>
        <v>0</v>
      </c>
      <c r="N49" s="3"/>
      <c r="O49" s="3"/>
      <c r="P49" s="3"/>
      <c r="Q49" s="3"/>
      <c r="R49" s="3"/>
      <c r="U49" s="30"/>
      <c r="V49" s="30"/>
      <c r="W49" s="30"/>
      <c r="X49" s="30"/>
      <c r="Y49" s="30"/>
      <c r="Z49" s="30"/>
    </row>
    <row r="50" spans="2:26" ht="15" customHeight="1" x14ac:dyDescent="0.3">
      <c r="B50" s="138" t="s">
        <v>112</v>
      </c>
      <c r="C50" s="139"/>
      <c r="D50" s="139"/>
      <c r="E50" s="140"/>
      <c r="F50" s="52" t="s">
        <v>113</v>
      </c>
      <c r="L50" s="112" t="s">
        <v>114</v>
      </c>
      <c r="M50" s="58">
        <f>SUM(M47:M49)</f>
        <v>7.4489724727409223</v>
      </c>
      <c r="P50" s="30"/>
      <c r="Q50" s="30"/>
      <c r="R50" s="30"/>
      <c r="S50" s="30"/>
      <c r="T50" s="30"/>
      <c r="U50" s="30"/>
    </row>
    <row r="51" spans="2:26" ht="15" customHeight="1" x14ac:dyDescent="0.3">
      <c r="B51" s="138" t="s">
        <v>115</v>
      </c>
      <c r="C51" s="139"/>
      <c r="D51" s="139"/>
      <c r="E51" s="140"/>
      <c r="F51" s="67">
        <v>4</v>
      </c>
      <c r="N51" s="3"/>
      <c r="O51" s="3"/>
      <c r="P51" s="3"/>
      <c r="Q51" s="3"/>
      <c r="R51" s="3"/>
      <c r="S51" s="3"/>
      <c r="T51" t="s">
        <v>116</v>
      </c>
      <c r="U51" s="30">
        <v>0.24829908242469739</v>
      </c>
      <c r="V51" s="30">
        <v>0.25638049206396912</v>
      </c>
      <c r="W51" s="30">
        <v>0.23087877089416395</v>
      </c>
      <c r="X51" s="30">
        <v>0.19995070684515945</v>
      </c>
      <c r="Y51" s="30">
        <v>0.19187363677673422</v>
      </c>
      <c r="Z51" s="30">
        <v>0.19442422812140123</v>
      </c>
    </row>
    <row r="52" spans="2:26" ht="15" customHeight="1" x14ac:dyDescent="0.3">
      <c r="B52" s="138" t="s">
        <v>117</v>
      </c>
      <c r="C52" s="139"/>
      <c r="D52" s="139"/>
      <c r="E52" s="140"/>
      <c r="F52" s="54">
        <f>N95</f>
        <v>0.91696925477340141</v>
      </c>
      <c r="J52" s="153" t="s">
        <v>118</v>
      </c>
      <c r="K52" s="153"/>
      <c r="L52" s="153"/>
      <c r="M52" s="55">
        <f>M45+M50</f>
        <v>35.608198103634194</v>
      </c>
      <c r="N52" s="3"/>
      <c r="O52" s="3"/>
      <c r="P52" s="3"/>
      <c r="Q52" s="3"/>
      <c r="R52" s="3"/>
      <c r="S52" s="3"/>
      <c r="T52" t="s">
        <v>119</v>
      </c>
      <c r="U52" s="30">
        <v>3.7943122962558362E-2</v>
      </c>
      <c r="V52" s="30">
        <v>4.223702834128551E-2</v>
      </c>
      <c r="W52" s="30">
        <v>4.860605703035023E-2</v>
      </c>
      <c r="X52" s="30">
        <v>3.8768919240608907E-2</v>
      </c>
      <c r="Y52" s="30">
        <v>4.3164661719191783E-2</v>
      </c>
      <c r="Z52" s="30">
        <v>4.8606057030350314E-2</v>
      </c>
    </row>
    <row r="53" spans="2:26" ht="15" customHeight="1" x14ac:dyDescent="0.3">
      <c r="B53" s="138" t="s">
        <v>120</v>
      </c>
      <c r="C53" s="139"/>
      <c r="D53" s="139"/>
      <c r="E53" s="140"/>
      <c r="F53" s="41">
        <f>M95</f>
        <v>37.030855759216777</v>
      </c>
      <c r="J53" s="153" t="s">
        <v>121</v>
      </c>
      <c r="K53" s="153"/>
      <c r="L53" s="153"/>
      <c r="M53" s="55">
        <f>F53+G53</f>
        <v>37.030855759216777</v>
      </c>
      <c r="N53" s="3"/>
      <c r="O53" s="3"/>
      <c r="P53" s="3"/>
      <c r="Q53" s="3"/>
      <c r="R53" s="3"/>
      <c r="S53" s="3"/>
      <c r="T53" t="s">
        <v>103</v>
      </c>
      <c r="U53" s="30">
        <v>0.15299240099749306</v>
      </c>
      <c r="V53" s="30">
        <v>0.16984605045288526</v>
      </c>
      <c r="W53" s="30">
        <v>0.19862498403696757</v>
      </c>
      <c r="X53" s="30">
        <v>0.15528720077088912</v>
      </c>
      <c r="Y53" s="30">
        <v>0.17318764075960427</v>
      </c>
      <c r="Z53" s="30">
        <v>0.19928483382443626</v>
      </c>
    </row>
    <row r="54" spans="2:26" ht="15" customHeight="1" x14ac:dyDescent="0.3">
      <c r="B54" s="138" t="s">
        <v>122</v>
      </c>
      <c r="C54" s="139"/>
      <c r="D54" s="139"/>
      <c r="E54" s="140"/>
      <c r="F54" s="55">
        <f>(F53*1000)/F11</f>
        <v>1.2343618586405594</v>
      </c>
      <c r="J54" s="153" t="s">
        <v>123</v>
      </c>
      <c r="K54" s="153"/>
      <c r="L54" s="153"/>
      <c r="M54" s="66">
        <f>1-(M52/M53)</f>
        <v>3.8418168481793469E-2</v>
      </c>
    </row>
    <row r="56" spans="2:26" x14ac:dyDescent="0.3">
      <c r="U56" s="30"/>
    </row>
    <row r="59" spans="2:26" x14ac:dyDescent="0.3">
      <c r="U59" s="48"/>
    </row>
    <row r="60" spans="2:26" x14ac:dyDescent="0.3">
      <c r="U60" s="30"/>
      <c r="V60" s="30"/>
      <c r="W60" s="30"/>
      <c r="X60" s="30"/>
      <c r="Y60" s="30"/>
      <c r="Z60" s="30"/>
    </row>
    <row r="61" spans="2:26" ht="14.4" customHeight="1" x14ac:dyDescent="0.3">
      <c r="U61" s="30"/>
      <c r="V61" s="30"/>
      <c r="W61" s="30"/>
      <c r="X61" s="30"/>
      <c r="Y61" s="30"/>
      <c r="Z61" s="30"/>
    </row>
    <row r="62" spans="2:26" x14ac:dyDescent="0.3">
      <c r="U62" s="30"/>
      <c r="V62" s="30"/>
      <c r="W62" s="30"/>
      <c r="X62" s="30"/>
      <c r="Y62" s="30"/>
      <c r="Z62" s="30"/>
    </row>
    <row r="63" spans="2:26" x14ac:dyDescent="0.3">
      <c r="U63" s="30"/>
      <c r="V63" s="30"/>
      <c r="W63" s="30"/>
      <c r="X63" s="30"/>
      <c r="Y63" s="30"/>
      <c r="Z63" s="30"/>
    </row>
    <row r="64" spans="2:26" x14ac:dyDescent="0.3">
      <c r="U64" s="30"/>
      <c r="V64" s="30"/>
      <c r="W64" s="30"/>
      <c r="X64" s="30"/>
      <c r="Y64" s="30"/>
      <c r="Z64" s="30"/>
    </row>
    <row r="65" spans="3:26" x14ac:dyDescent="0.3">
      <c r="U65" s="30"/>
      <c r="V65" s="30"/>
      <c r="W65" s="30"/>
      <c r="X65" s="30"/>
      <c r="Y65" s="30"/>
      <c r="Z65" s="30"/>
    </row>
    <row r="66" spans="3:26" x14ac:dyDescent="0.3">
      <c r="U66" s="30"/>
      <c r="V66" s="30"/>
      <c r="W66" s="30"/>
      <c r="X66" s="30"/>
      <c r="Y66" s="30"/>
      <c r="Z66" s="30"/>
    </row>
    <row r="69" spans="3:26" x14ac:dyDescent="0.3">
      <c r="E69" s="56"/>
    </row>
    <row r="70" spans="3:26" x14ac:dyDescent="0.3">
      <c r="E70" s="47"/>
    </row>
    <row r="71" spans="3:26" x14ac:dyDescent="0.3">
      <c r="E71" s="47"/>
    </row>
    <row r="72" spans="3:26" x14ac:dyDescent="0.3">
      <c r="E72" s="47"/>
    </row>
    <row r="73" spans="3:26" x14ac:dyDescent="0.3">
      <c r="E73" s="47"/>
    </row>
    <row r="74" spans="3:26" x14ac:dyDescent="0.3">
      <c r="E74" s="47"/>
    </row>
    <row r="75" spans="3:26" x14ac:dyDescent="0.3">
      <c r="E75" s="47"/>
    </row>
    <row r="76" spans="3:26" x14ac:dyDescent="0.3">
      <c r="C76" s="46" t="s">
        <v>124</v>
      </c>
      <c r="E76" s="47"/>
      <c r="Q76" s="46" t="s">
        <v>125</v>
      </c>
    </row>
    <row r="77" spans="3:26" ht="43.8" x14ac:dyDescent="0.35">
      <c r="E77" s="4" t="s">
        <v>126</v>
      </c>
      <c r="F77" s="4"/>
      <c r="G77" s="4"/>
      <c r="H77" s="4"/>
      <c r="I77" s="4"/>
      <c r="J77" s="4"/>
      <c r="K77" s="4"/>
      <c r="L77" s="4"/>
      <c r="N77" s="5" t="s">
        <v>127</v>
      </c>
      <c r="O77" s="5" t="s">
        <v>128</v>
      </c>
      <c r="P77" s="5" t="s">
        <v>129</v>
      </c>
      <c r="Q77" s="5" t="s">
        <v>130</v>
      </c>
      <c r="R77" s="5" t="s">
        <v>131</v>
      </c>
      <c r="S77" s="5" t="s">
        <v>132</v>
      </c>
      <c r="T77" s="5" t="s">
        <v>133</v>
      </c>
      <c r="U77" s="5" t="s">
        <v>134</v>
      </c>
      <c r="V77" s="5" t="s">
        <v>135</v>
      </c>
      <c r="W77" s="5" t="s">
        <v>136</v>
      </c>
      <c r="X77" s="5" t="s">
        <v>137</v>
      </c>
      <c r="Z77" s="5" t="s">
        <v>138</v>
      </c>
    </row>
    <row r="78" spans="3:26" x14ac:dyDescent="0.3">
      <c r="E78" s="148" t="s">
        <v>113</v>
      </c>
      <c r="F78" s="149"/>
      <c r="G78" s="149"/>
      <c r="H78" s="150"/>
      <c r="I78" s="147" t="s">
        <v>139</v>
      </c>
      <c r="J78" s="147"/>
      <c r="K78" s="147"/>
      <c r="L78" s="147"/>
      <c r="N78">
        <v>460</v>
      </c>
      <c r="O78" t="s">
        <v>113</v>
      </c>
      <c r="P78" t="s">
        <v>140</v>
      </c>
      <c r="Q78">
        <v>2</v>
      </c>
      <c r="R78">
        <v>0</v>
      </c>
      <c r="S78">
        <v>1</v>
      </c>
      <c r="T78">
        <v>2</v>
      </c>
      <c r="U78" t="s">
        <v>141</v>
      </c>
      <c r="V78" t="s">
        <v>142</v>
      </c>
      <c r="W78" t="s">
        <v>21</v>
      </c>
      <c r="X78" t="s">
        <v>38</v>
      </c>
      <c r="Z78" t="s">
        <v>43</v>
      </c>
    </row>
    <row r="79" spans="3:26" x14ac:dyDescent="0.3">
      <c r="C79" s="6"/>
      <c r="D79" s="33" t="s">
        <v>143</v>
      </c>
      <c r="E79" s="108" t="s">
        <v>144</v>
      </c>
      <c r="F79" s="108" t="s">
        <v>145</v>
      </c>
      <c r="G79" s="108" t="s">
        <v>146</v>
      </c>
      <c r="H79" s="108" t="s">
        <v>147</v>
      </c>
      <c r="I79" s="108" t="s">
        <v>144</v>
      </c>
      <c r="J79" s="108" t="s">
        <v>145</v>
      </c>
      <c r="K79" s="108" t="s">
        <v>146</v>
      </c>
      <c r="L79" s="108" t="s">
        <v>148</v>
      </c>
      <c r="N79">
        <v>230</v>
      </c>
      <c r="O79" s="8" t="s">
        <v>139</v>
      </c>
      <c r="P79" s="8" t="s">
        <v>40</v>
      </c>
      <c r="Q79">
        <v>4</v>
      </c>
      <c r="R79">
        <v>1</v>
      </c>
      <c r="S79">
        <v>1.5</v>
      </c>
      <c r="T79">
        <v>4</v>
      </c>
      <c r="U79" t="s">
        <v>149</v>
      </c>
      <c r="V79" t="s">
        <v>150</v>
      </c>
      <c r="W79" t="s">
        <v>22</v>
      </c>
      <c r="X79" t="s">
        <v>45</v>
      </c>
      <c r="Z79" t="s">
        <v>151</v>
      </c>
    </row>
    <row r="80" spans="3:26" x14ac:dyDescent="0.3">
      <c r="C80" s="6"/>
      <c r="D80" s="7"/>
      <c r="E80" s="9">
        <f>VLOOKUP($D$82,constantsHP!$A$4:$I$28,2)/100</f>
        <v>0.93</v>
      </c>
      <c r="F80" s="9">
        <f>VLOOKUP($D$82,constantsHP!$A$4:$I$28,3)/100</f>
        <v>0.94499999999999995</v>
      </c>
      <c r="G80" s="9">
        <f>VLOOKUP($D$82,constantsHP!$A$4:$I$28,4)/100</f>
        <v>0.94099999999999995</v>
      </c>
      <c r="H80" s="9">
        <f>VLOOKUP($D$82,constantsHP!$A$4:$I$28,5)/100</f>
        <v>0.92400000000000004</v>
      </c>
      <c r="I80" s="9">
        <f>VLOOKUP($D$82,constantsHP!$A$4:$I$28,6)/100</f>
        <v>0.93</v>
      </c>
      <c r="J80" s="9">
        <f>VLOOKUP($D$82,constantsHP!$A$4:$I$28,7)/100</f>
        <v>0.94499999999999995</v>
      </c>
      <c r="K80" s="9">
        <f>VLOOKUP($D$82,constantsHP!$A$4:$I$28,8)/100</f>
        <v>0.94099999999999995</v>
      </c>
      <c r="L80" s="9">
        <f>VLOOKUP($D$82,constantsHP!$A$4:$I$28,9)/100</f>
        <v>0.91</v>
      </c>
      <c r="N80">
        <v>575</v>
      </c>
      <c r="P80" t="s">
        <v>152</v>
      </c>
      <c r="Q80">
        <v>6</v>
      </c>
      <c r="R80">
        <v>2</v>
      </c>
      <c r="S80">
        <v>2</v>
      </c>
      <c r="T80">
        <v>6</v>
      </c>
      <c r="W80" t="s">
        <v>20</v>
      </c>
      <c r="Z80" t="s">
        <v>153</v>
      </c>
    </row>
    <row r="81" spans="1:26" x14ac:dyDescent="0.3">
      <c r="C81" s="33" t="s">
        <v>154</v>
      </c>
      <c r="D81" s="7">
        <v>1</v>
      </c>
      <c r="N81">
        <v>208</v>
      </c>
      <c r="P81" t="s">
        <v>155</v>
      </c>
      <c r="Q81">
        <v>8</v>
      </c>
      <c r="R81">
        <v>3</v>
      </c>
      <c r="S81">
        <v>3</v>
      </c>
      <c r="T81">
        <v>8</v>
      </c>
      <c r="Z81" t="s">
        <v>156</v>
      </c>
    </row>
    <row r="82" spans="1:26" x14ac:dyDescent="0.3">
      <c r="C82" s="33" t="s">
        <v>157</v>
      </c>
      <c r="D82" s="31">
        <f>F48</f>
        <v>50</v>
      </c>
      <c r="E82" s="151" t="s">
        <v>158</v>
      </c>
      <c r="F82" s="148" t="s">
        <v>159</v>
      </c>
      <c r="G82" s="150"/>
      <c r="H82" s="108" t="s">
        <v>160</v>
      </c>
      <c r="I82" s="108"/>
      <c r="J82" s="147" t="s">
        <v>161</v>
      </c>
      <c r="K82" s="147"/>
      <c r="R82">
        <v>4</v>
      </c>
      <c r="S82">
        <v>5</v>
      </c>
    </row>
    <row r="83" spans="1:26" x14ac:dyDescent="0.3">
      <c r="C83" s="33" t="s">
        <v>162</v>
      </c>
      <c r="D83" s="31">
        <f>F49</f>
        <v>45.535947712418299</v>
      </c>
      <c r="E83" s="152"/>
      <c r="F83" s="114" t="s">
        <v>163</v>
      </c>
      <c r="G83" s="114" t="s">
        <v>164</v>
      </c>
      <c r="H83" s="114" t="s">
        <v>163</v>
      </c>
      <c r="I83" s="114" t="s">
        <v>164</v>
      </c>
      <c r="J83" s="114" t="s">
        <v>163</v>
      </c>
      <c r="K83" s="114" t="s">
        <v>164</v>
      </c>
      <c r="R83">
        <v>5</v>
      </c>
      <c r="S83">
        <v>7.5</v>
      </c>
    </row>
    <row r="84" spans="1:26" x14ac:dyDescent="0.3">
      <c r="C84" s="33" t="s">
        <v>165</v>
      </c>
      <c r="D84" s="35" t="str">
        <f>F50</f>
        <v>ODP</v>
      </c>
      <c r="E84" s="10" t="s">
        <v>166</v>
      </c>
      <c r="F84" s="9">
        <f>VLOOKUP($D$82,constantsHP!$K$4:$Q$28,2)</f>
        <v>1.02261</v>
      </c>
      <c r="G84" s="9">
        <f>VLOOKUP($D$82,constantsHP!$K$4:$Q$28,3)</f>
        <v>4.8500000000000001E-3</v>
      </c>
      <c r="H84" s="9">
        <f>VLOOKUP($D$82,constantsHP!$K$4:$Q$28,4)</f>
        <v>1.0218499999999999</v>
      </c>
      <c r="I84" s="9">
        <f>VLOOKUP($D$82,constantsHP!$K$4:$Q$28,5)</f>
        <v>3.7000000000000002E-3</v>
      </c>
      <c r="J84" s="9">
        <f>VLOOKUP($D$82,constantsHP!$K$4:$Q$28,6)</f>
        <v>1.0210600000000001</v>
      </c>
      <c r="K84" s="9">
        <f>VLOOKUP($D$82,constantsHP!$K$4:$Q$28,7)</f>
        <v>3.8400000000000001E-3</v>
      </c>
      <c r="R84">
        <v>6</v>
      </c>
      <c r="S84">
        <v>10</v>
      </c>
    </row>
    <row r="85" spans="1:26" x14ac:dyDescent="0.3">
      <c r="C85" s="33"/>
      <c r="D85" s="7"/>
      <c r="E85" s="10" t="s">
        <v>167</v>
      </c>
      <c r="F85" s="9">
        <f>VLOOKUP($D$82,constantsHP!$Z$4:$AF$28,2)</f>
        <v>1.0621400000000001</v>
      </c>
      <c r="G85" s="9">
        <f>VLOOKUP($D$82,constantsHP!$Z$4:$AF$28,3)</f>
        <v>2.7689999999999999E-2</v>
      </c>
      <c r="H85" s="9">
        <f>VLOOKUP($D$82,constantsHP!$Z$4:$AF$28,4)</f>
        <v>1.0461199999999999</v>
      </c>
      <c r="I85" s="9">
        <f>VLOOKUP($D$82,constantsHP!$Z$4:$AF$28,5)</f>
        <v>1.6209999999999999E-2</v>
      </c>
      <c r="J85" s="9">
        <f>VLOOKUP($D$82,constantsHP!$Z$4:$AF$28,6)</f>
        <v>1.0470299999999999</v>
      </c>
      <c r="K85" s="9">
        <f>VLOOKUP($D$82,constantsHP!$Z$4:$AF$28,7)</f>
        <v>1.7319999999999999E-2</v>
      </c>
      <c r="R85">
        <v>7</v>
      </c>
      <c r="S85">
        <v>15</v>
      </c>
    </row>
    <row r="86" spans="1:26" x14ac:dyDescent="0.3">
      <c r="C86" s="33" t="s">
        <v>168</v>
      </c>
      <c r="D86" s="31">
        <f>F51</f>
        <v>4</v>
      </c>
      <c r="E86" s="6"/>
      <c r="R86">
        <v>8</v>
      </c>
      <c r="S86">
        <v>20</v>
      </c>
    </row>
    <row r="87" spans="1:26" x14ac:dyDescent="0.3">
      <c r="C87" s="33" t="s">
        <v>169</v>
      </c>
      <c r="D87" s="7" t="str">
        <f>F10</f>
        <v>Direct</v>
      </c>
      <c r="E87" s="6"/>
      <c r="F87" s="6" t="s">
        <v>170</v>
      </c>
      <c r="G87" s="6"/>
      <c r="H87" s="6"/>
      <c r="I87" s="6"/>
      <c r="R87">
        <v>9</v>
      </c>
      <c r="S87">
        <v>25</v>
      </c>
    </row>
    <row r="88" spans="1:26" x14ac:dyDescent="0.3">
      <c r="C88" s="33" t="s">
        <v>171</v>
      </c>
      <c r="D88" s="7">
        <f>IF(F9="no",0,1)</f>
        <v>1</v>
      </c>
      <c r="E88" s="10"/>
      <c r="F88" s="108" t="s">
        <v>141</v>
      </c>
      <c r="G88" s="108" t="s">
        <v>172</v>
      </c>
      <c r="H88" s="108" t="s">
        <v>173</v>
      </c>
      <c r="I88" s="108" t="s">
        <v>174</v>
      </c>
      <c r="R88">
        <v>10</v>
      </c>
      <c r="S88">
        <v>30</v>
      </c>
    </row>
    <row r="89" spans="1:26" x14ac:dyDescent="0.3">
      <c r="C89" s="33" t="s">
        <v>175</v>
      </c>
      <c r="D89" s="31">
        <f>D82</f>
        <v>50</v>
      </c>
      <c r="E89" s="10" t="s">
        <v>176</v>
      </c>
      <c r="F89" s="9">
        <f>VLOOKUP($D$89,constantsHP!$S$4:$X$28,3)</f>
        <v>50</v>
      </c>
      <c r="G89" s="9">
        <f>VLOOKUP($D$89,constantsHP!$S$4:$X$28,4)</f>
        <v>0.9879</v>
      </c>
      <c r="H89" s="9">
        <f>VLOOKUP($D$89,constantsHP!$S$4:$X$28,5)</f>
        <v>1.84E-2</v>
      </c>
      <c r="I89" s="9">
        <f>VLOOKUP($D$89,constantsHP!$S$4:$X$28,6)</f>
        <v>-1.6999999999999999E-3</v>
      </c>
      <c r="R89">
        <v>11</v>
      </c>
      <c r="S89">
        <v>40</v>
      </c>
    </row>
    <row r="90" spans="1:26" x14ac:dyDescent="0.3">
      <c r="C90" s="6"/>
      <c r="D90" s="7"/>
      <c r="E90" s="10" t="s">
        <v>177</v>
      </c>
      <c r="F90" s="9">
        <f>VLOOKUP($D$89,constantsHP!$T$4:$X$28,2)</f>
        <v>60</v>
      </c>
      <c r="G90" s="9">
        <f>VLOOKUP($D$89,constantsHP!$T$4:$X$28,3)</f>
        <v>0.97189999999999999</v>
      </c>
      <c r="H90" s="9">
        <f>VLOOKUP($D$89,constantsHP!$T$4:$X$28,4)</f>
        <v>1.4500000000000001E-2</v>
      </c>
      <c r="I90" s="9">
        <f>VLOOKUP($D$89,constantsHP!$T$4:$X$28,5)</f>
        <v>1.18E-2</v>
      </c>
      <c r="R90">
        <v>12</v>
      </c>
      <c r="S90">
        <v>50</v>
      </c>
    </row>
    <row r="91" spans="1:26" x14ac:dyDescent="0.3">
      <c r="C91" s="11"/>
      <c r="D91" s="7"/>
      <c r="E91" s="10" t="s">
        <v>178</v>
      </c>
      <c r="F91" s="9">
        <f>(D89-F89)/(F90-F89)</f>
        <v>0</v>
      </c>
      <c r="G91" s="9">
        <f>ROUND($F91*(G90-G89)+G89,5)</f>
        <v>0.9879</v>
      </c>
      <c r="H91" s="9">
        <f>ROUND($F91*(H90-H89)+H89,5)</f>
        <v>1.84E-2</v>
      </c>
      <c r="I91" s="9">
        <f>ROUND($F91*(I90-I89)+I89,5)</f>
        <v>-1.6999999999999999E-3</v>
      </c>
      <c r="R91">
        <v>13</v>
      </c>
      <c r="S91">
        <v>60</v>
      </c>
    </row>
    <row r="92" spans="1:26" x14ac:dyDescent="0.3">
      <c r="R92">
        <v>14</v>
      </c>
      <c r="S92">
        <v>75</v>
      </c>
    </row>
    <row r="93" spans="1:26" x14ac:dyDescent="0.3">
      <c r="R93">
        <v>15</v>
      </c>
      <c r="S93">
        <v>100</v>
      </c>
    </row>
    <row r="94" spans="1:26" ht="73.2" x14ac:dyDescent="0.35">
      <c r="A94" s="12" t="s">
        <v>179</v>
      </c>
      <c r="B94" s="12" t="s">
        <v>180</v>
      </c>
      <c r="C94" s="13" t="s">
        <v>181</v>
      </c>
      <c r="D94" s="14" t="s">
        <v>126</v>
      </c>
      <c r="E94" s="7" t="s">
        <v>182</v>
      </c>
      <c r="F94" s="7" t="s">
        <v>163</v>
      </c>
      <c r="G94" s="7" t="s">
        <v>164</v>
      </c>
      <c r="H94" s="7" t="s">
        <v>183</v>
      </c>
      <c r="I94" s="12" t="s">
        <v>184</v>
      </c>
      <c r="J94" s="14" t="s">
        <v>185</v>
      </c>
      <c r="K94" s="12" t="s">
        <v>186</v>
      </c>
      <c r="L94" s="12" t="s">
        <v>187</v>
      </c>
      <c r="M94" s="12" t="s">
        <v>188</v>
      </c>
      <c r="N94" s="12" t="s">
        <v>189</v>
      </c>
      <c r="O94" s="15"/>
      <c r="P94" s="16"/>
      <c r="R94">
        <v>16</v>
      </c>
      <c r="S94">
        <v>125</v>
      </c>
    </row>
    <row r="95" spans="1:26" x14ac:dyDescent="0.3">
      <c r="A95" s="2">
        <f>D83</f>
        <v>45.535947712418299</v>
      </c>
      <c r="B95" s="23">
        <f>IF($D$87="Direct",1,IF($D$87="V-Belt",0.96*(A95/(A95+2.2))^0.05,IF($D$87="Coupling",0.98,IF(AND($D$87="Synchronous Belt",A95&lt;=1.34),0.94,IF(AND($D$87="Synchronous Belt",A95&gt;1.34,A95&lt;=6.7),0.00746*A95+0.93,0.98)))))</f>
        <v>1</v>
      </c>
      <c r="C95" s="23">
        <f>A95/B95</f>
        <v>45.535947712418299</v>
      </c>
      <c r="D95" s="23">
        <f>IF(AND($D$84="ODP",$D$86=2),$E$80,IF(AND($D$84="ODP",$D$86=4),$F$80,IF(AND($D$84="ODP",$D$86=6),$G$80,IF(AND($D$84="ODP",$D$86=8),$H$80,IF(AND($D$84="TEFC",$D$86=2),$I$80,IF(AND($D$84="TEFC",$D$86=4),$J$80,IF(AND($D$84="TEFC",$D$86=6),$K$80,IF(AND($D$84="TEFC",$D$86=8),$L$80))))))))</f>
        <v>0.94499999999999995</v>
      </c>
      <c r="E95" s="23">
        <f>C95/$D$82</f>
        <v>0.91071895424836602</v>
      </c>
      <c r="F95" s="23">
        <f>IF(AND($D$88&gt;0,$D$86=2),F$84,IF(AND($D$88=0,$D$86=2),F$85,IF(AND($D$88&gt;0,$D$86=4),H$84,IF(AND($D$88=0,$D$86=4),H$85,IF(AND($D$88&gt;0,OR($D$86=6,$D$86=8)),J$84,IF(AND($D$88=0,OR($D$86=6,$D$86=8)),J$85))))))</f>
        <v>1.0218499999999999</v>
      </c>
      <c r="G95" s="23">
        <f>IF(AND($D$88&gt;0,$D$86=2),G$84,IF(AND($D$88=0,$D$86=2),G$85,IF(AND($D$88&gt;0,$D$86=4),I$84,IF(AND($D$88=0,$D$86=4),I$85,IF(AND($D$88&gt;0,OR($D$86=6,$D$86=8)),K$84,IF(AND($D$88=0,OR($D$86=6,$D$86=8)),K$85))))))</f>
        <v>3.7000000000000002E-3</v>
      </c>
      <c r="H95" s="23">
        <f t="shared" ref="H95" si="4">1-(F95/(1+G95))</f>
        <v>-1.8083092557537039E-2</v>
      </c>
      <c r="I95" s="17">
        <f>D95*(((F95*E95)/(G95+E95))+H95*(E95^2))</f>
        <v>0.94756758708854105</v>
      </c>
      <c r="J95" s="18">
        <f>IF($D$88=0,0,($D$81/$D$88)*C95/(I95*$D$89))</f>
        <v>0.96111239626357969</v>
      </c>
      <c r="K95" s="19">
        <f>($G$91*J95/($H$91+J95))+(J95*$I$91)</f>
        <v>0.96770854899210423</v>
      </c>
      <c r="L95" s="20">
        <f>I95*K95</f>
        <v>0.91696925477340141</v>
      </c>
      <c r="M95" s="21">
        <f>IF(J95=0,C95*0.7457/I95,C95*0.7457/L95)</f>
        <v>37.030855759216777</v>
      </c>
      <c r="N95" s="20">
        <f>IF(J95=0,B95*I95,B95*L95)</f>
        <v>0.91696925477340141</v>
      </c>
      <c r="R95">
        <v>17</v>
      </c>
      <c r="S95">
        <v>150</v>
      </c>
    </row>
    <row r="96" spans="1:26" x14ac:dyDescent="0.3">
      <c r="A96" s="2"/>
      <c r="B96" s="23"/>
      <c r="C96" s="23"/>
      <c r="D96" s="23"/>
      <c r="E96" s="23"/>
      <c r="F96" s="23"/>
      <c r="G96" s="23"/>
      <c r="H96" s="23"/>
      <c r="I96" s="17"/>
      <c r="J96" s="18"/>
      <c r="K96" s="19"/>
      <c r="L96" s="20"/>
      <c r="M96" s="21"/>
      <c r="N96" s="20"/>
      <c r="R96">
        <v>18</v>
      </c>
      <c r="S96">
        <v>200</v>
      </c>
    </row>
    <row r="97" spans="1:19" x14ac:dyDescent="0.3">
      <c r="A97" s="2"/>
      <c r="B97" s="23"/>
      <c r="C97" s="23"/>
      <c r="D97" s="23"/>
      <c r="E97" s="23"/>
      <c r="F97" s="23"/>
      <c r="G97" s="23"/>
      <c r="H97" s="23"/>
      <c r="I97" s="17"/>
      <c r="J97" s="18"/>
      <c r="K97" s="19"/>
      <c r="L97" s="20"/>
      <c r="M97" s="21"/>
      <c r="N97" s="20"/>
      <c r="R97">
        <v>19</v>
      </c>
      <c r="S97">
        <v>250</v>
      </c>
    </row>
    <row r="98" spans="1:19" x14ac:dyDescent="0.3">
      <c r="A98" s="2"/>
      <c r="B98" s="23"/>
      <c r="C98" s="23"/>
      <c r="D98" s="23"/>
      <c r="E98" s="23"/>
      <c r="F98" s="23"/>
      <c r="G98" s="23"/>
      <c r="H98" s="23"/>
      <c r="I98" s="17"/>
      <c r="J98" s="18"/>
      <c r="K98" s="19"/>
      <c r="L98" s="20"/>
      <c r="M98" s="21"/>
      <c r="N98" s="20"/>
      <c r="R98">
        <v>20</v>
      </c>
      <c r="S98">
        <v>300</v>
      </c>
    </row>
    <row r="99" spans="1:19" x14ac:dyDescent="0.3">
      <c r="A99" s="2"/>
      <c r="B99" s="23"/>
      <c r="C99" s="23"/>
      <c r="D99" s="23"/>
      <c r="E99" s="23"/>
      <c r="F99" s="23"/>
      <c r="G99" s="23"/>
      <c r="H99" s="23"/>
      <c r="I99" s="17"/>
      <c r="J99" s="18"/>
      <c r="K99" s="19"/>
      <c r="L99" s="20"/>
      <c r="M99" s="21"/>
      <c r="N99" s="20"/>
      <c r="O99" s="19"/>
      <c r="P99" s="22"/>
      <c r="R99">
        <v>21</v>
      </c>
      <c r="S99">
        <v>350</v>
      </c>
    </row>
    <row r="100" spans="1:19" x14ac:dyDescent="0.3">
      <c r="A100" s="2"/>
      <c r="B100" s="23"/>
      <c r="C100" s="23"/>
      <c r="D100" s="23"/>
      <c r="E100" s="23"/>
      <c r="F100" s="23"/>
      <c r="G100" s="23"/>
      <c r="H100" s="23"/>
      <c r="I100" s="17"/>
      <c r="J100" s="18"/>
      <c r="K100" s="19"/>
      <c r="L100" s="20"/>
      <c r="M100" s="21"/>
      <c r="N100" s="20"/>
      <c r="R100">
        <v>22</v>
      </c>
      <c r="S100">
        <v>400</v>
      </c>
    </row>
    <row r="101" spans="1:19" x14ac:dyDescent="0.3">
      <c r="A101" s="2"/>
      <c r="B101" s="23"/>
      <c r="C101" s="23"/>
      <c r="D101" s="23"/>
      <c r="E101" s="23"/>
      <c r="F101" s="23"/>
      <c r="G101" s="23"/>
      <c r="H101" s="23"/>
      <c r="I101" s="17"/>
      <c r="J101" s="18"/>
      <c r="K101" s="19"/>
      <c r="L101" s="20"/>
      <c r="M101" s="21"/>
      <c r="N101" s="20"/>
      <c r="R101">
        <v>23</v>
      </c>
      <c r="S101">
        <v>450</v>
      </c>
    </row>
    <row r="102" spans="1:19" x14ac:dyDescent="0.3">
      <c r="A102" s="2"/>
      <c r="B102" s="23"/>
      <c r="C102" s="23"/>
      <c r="D102" s="23"/>
      <c r="E102" s="23"/>
      <c r="F102" s="23"/>
      <c r="G102" s="23"/>
      <c r="H102" s="23"/>
      <c r="I102" s="17"/>
      <c r="J102" s="18"/>
      <c r="K102" s="19"/>
      <c r="L102" s="20"/>
      <c r="M102" s="21"/>
      <c r="N102" s="20"/>
      <c r="R102">
        <v>24</v>
      </c>
      <c r="S102">
        <v>500</v>
      </c>
    </row>
    <row r="103" spans="1:19" x14ac:dyDescent="0.3">
      <c r="A103" s="2"/>
      <c r="B103" s="23"/>
      <c r="C103" s="23"/>
      <c r="D103" s="23"/>
      <c r="E103" s="23"/>
      <c r="F103" s="23"/>
      <c r="G103" s="23"/>
      <c r="H103" s="23"/>
      <c r="I103" s="17"/>
      <c r="J103" s="18"/>
      <c r="K103" s="19"/>
      <c r="L103" s="20"/>
      <c r="M103" s="21"/>
      <c r="N103" s="20"/>
      <c r="R103">
        <v>25</v>
      </c>
    </row>
    <row r="104" spans="1:19" x14ac:dyDescent="0.3">
      <c r="A104" s="2"/>
      <c r="B104" s="23"/>
      <c r="C104" s="23"/>
      <c r="D104" s="23"/>
      <c r="E104" s="23"/>
      <c r="F104" s="23"/>
      <c r="G104" s="23"/>
      <c r="H104" s="23"/>
      <c r="I104" s="17"/>
      <c r="J104" s="18"/>
      <c r="K104" s="19"/>
      <c r="L104" s="20"/>
      <c r="M104" s="21"/>
      <c r="N104" s="20"/>
      <c r="R104">
        <v>26</v>
      </c>
    </row>
    <row r="105" spans="1:19" x14ac:dyDescent="0.3">
      <c r="C105" s="23"/>
      <c r="D105" s="23"/>
      <c r="E105" s="23"/>
      <c r="F105" s="23"/>
      <c r="G105" s="23"/>
      <c r="H105" s="23"/>
      <c r="I105" s="23"/>
      <c r="J105" s="23"/>
      <c r="K105" s="23"/>
      <c r="L105" s="23"/>
      <c r="M105" s="23"/>
      <c r="R105">
        <v>37</v>
      </c>
    </row>
    <row r="106" spans="1:19" x14ac:dyDescent="0.3">
      <c r="C106" s="23"/>
      <c r="D106" s="23"/>
      <c r="E106" s="23"/>
      <c r="F106" s="23"/>
      <c r="G106" s="23"/>
      <c r="H106" s="23"/>
      <c r="I106" s="23"/>
      <c r="J106" s="23"/>
      <c r="K106" s="23"/>
      <c r="L106" s="23"/>
      <c r="M106" s="23"/>
      <c r="R106">
        <v>38</v>
      </c>
    </row>
    <row r="107" spans="1:19" x14ac:dyDescent="0.3">
      <c r="C107" s="23"/>
      <c r="D107" s="23"/>
      <c r="E107" s="23"/>
      <c r="F107" s="23"/>
      <c r="G107" s="23"/>
      <c r="H107" s="23"/>
      <c r="I107" s="23"/>
      <c r="J107" s="23"/>
      <c r="K107" s="23"/>
      <c r="L107" s="23"/>
      <c r="M107" s="23"/>
      <c r="N107" s="5"/>
      <c r="R107">
        <v>39</v>
      </c>
    </row>
    <row r="108" spans="1:19" x14ac:dyDescent="0.3">
      <c r="C108" s="23"/>
      <c r="D108" s="23"/>
      <c r="E108" s="23"/>
      <c r="F108" s="23"/>
      <c r="G108" s="23"/>
      <c r="H108" s="23"/>
      <c r="I108" s="23"/>
      <c r="J108" s="23"/>
      <c r="K108" s="23"/>
      <c r="L108" s="23"/>
      <c r="M108" s="23"/>
      <c r="R108">
        <v>40</v>
      </c>
    </row>
    <row r="109" spans="1:19" x14ac:dyDescent="0.3">
      <c r="C109" s="23"/>
      <c r="D109" s="23"/>
      <c r="E109" s="23"/>
      <c r="F109" s="23"/>
      <c r="G109" s="23"/>
      <c r="H109" s="23"/>
      <c r="I109" s="23"/>
      <c r="J109" s="23"/>
      <c r="K109" s="23"/>
      <c r="L109" s="23"/>
      <c r="M109" s="23"/>
    </row>
    <row r="110" spans="1:19" x14ac:dyDescent="0.3">
      <c r="C110" s="23"/>
      <c r="D110" s="23"/>
      <c r="E110" s="23"/>
      <c r="F110" s="23"/>
      <c r="G110" s="23"/>
      <c r="H110" s="23"/>
      <c r="I110" s="23"/>
      <c r="J110" s="23"/>
      <c r="K110" s="23"/>
      <c r="L110" s="23"/>
      <c r="M110" s="23"/>
    </row>
    <row r="111" spans="1:19" x14ac:dyDescent="0.3">
      <c r="C111" s="23"/>
      <c r="D111" s="23"/>
      <c r="E111" s="23"/>
      <c r="F111" s="23"/>
      <c r="G111" s="23"/>
      <c r="H111" s="23"/>
      <c r="I111" s="23"/>
      <c r="J111" s="23"/>
      <c r="K111" s="23"/>
      <c r="L111" s="23"/>
      <c r="M111" s="23"/>
    </row>
    <row r="112" spans="1:19" x14ac:dyDescent="0.3">
      <c r="C112" s="23"/>
      <c r="D112" s="23"/>
      <c r="E112" s="23"/>
      <c r="F112" s="23"/>
      <c r="G112" s="23"/>
      <c r="H112" s="23"/>
      <c r="I112" s="23"/>
      <c r="J112" s="23"/>
      <c r="K112" s="23"/>
      <c r="L112" s="23"/>
      <c r="M112" s="23"/>
    </row>
    <row r="113" spans="1:14" x14ac:dyDescent="0.3">
      <c r="C113" s="23"/>
      <c r="D113" s="23"/>
      <c r="E113" s="23"/>
      <c r="F113" s="23"/>
      <c r="G113" s="23"/>
      <c r="H113" s="23"/>
      <c r="I113" s="23"/>
      <c r="J113" s="23"/>
      <c r="K113" s="23"/>
      <c r="L113" s="23"/>
      <c r="M113" s="23"/>
    </row>
    <row r="114" spans="1:14" x14ac:dyDescent="0.3">
      <c r="C114" s="23"/>
      <c r="D114" s="23"/>
      <c r="E114" s="23"/>
      <c r="F114" s="23"/>
      <c r="G114" s="23"/>
      <c r="H114" s="23"/>
      <c r="I114" s="23"/>
      <c r="J114" s="23"/>
      <c r="K114" s="23"/>
      <c r="L114" s="23"/>
      <c r="M114" s="23"/>
    </row>
    <row r="115" spans="1:14" x14ac:dyDescent="0.3">
      <c r="C115" s="23"/>
      <c r="D115" s="23"/>
      <c r="E115" s="23"/>
      <c r="F115" s="23"/>
      <c r="G115" s="23"/>
      <c r="H115" s="23"/>
      <c r="I115" s="23"/>
      <c r="J115" s="23"/>
      <c r="K115" s="23"/>
      <c r="L115" s="23"/>
      <c r="M115" s="23"/>
    </row>
    <row r="116" spans="1:14" x14ac:dyDescent="0.3">
      <c r="C116" s="23"/>
      <c r="D116" s="23"/>
      <c r="E116" s="23"/>
      <c r="F116" s="23"/>
      <c r="G116" s="23"/>
      <c r="H116" s="23"/>
      <c r="I116" s="23"/>
      <c r="J116" s="23"/>
      <c r="K116" s="23"/>
      <c r="L116" s="23"/>
      <c r="M116" s="23"/>
    </row>
    <row r="117" spans="1:14" x14ac:dyDescent="0.3">
      <c r="C117" s="23"/>
      <c r="D117" s="23"/>
      <c r="E117" s="23"/>
      <c r="F117" s="23"/>
      <c r="G117" s="23"/>
      <c r="H117" s="23"/>
      <c r="I117" s="23"/>
      <c r="J117" s="23"/>
      <c r="K117" s="23"/>
      <c r="L117" s="23"/>
      <c r="M117" s="23"/>
    </row>
    <row r="118" spans="1:14" x14ac:dyDescent="0.3">
      <c r="C118" s="23"/>
      <c r="D118" s="23"/>
      <c r="E118" s="23"/>
      <c r="F118" s="23"/>
      <c r="G118" s="23"/>
      <c r="H118" s="23"/>
      <c r="I118" s="23"/>
      <c r="J118" s="23"/>
      <c r="K118" s="23"/>
      <c r="L118" s="23"/>
      <c r="M118" s="23"/>
    </row>
    <row r="119" spans="1:14" x14ac:dyDescent="0.3">
      <c r="C119" s="23"/>
      <c r="D119" s="23"/>
      <c r="E119" s="23"/>
      <c r="F119" s="23"/>
      <c r="G119" s="23"/>
      <c r="H119" s="23"/>
      <c r="I119" s="23"/>
      <c r="J119" s="23"/>
      <c r="K119" s="23"/>
      <c r="L119" s="23"/>
      <c r="M119" s="23"/>
    </row>
    <row r="120" spans="1:14" x14ac:dyDescent="0.3">
      <c r="C120" s="23"/>
      <c r="D120" s="23"/>
      <c r="E120" s="23"/>
      <c r="F120" s="23"/>
      <c r="G120" s="23"/>
      <c r="H120" s="23"/>
      <c r="I120" s="23"/>
      <c r="J120" s="23"/>
      <c r="K120" s="23"/>
      <c r="L120" s="23"/>
      <c r="M120" s="23"/>
    </row>
    <row r="121" spans="1:14" x14ac:dyDescent="0.3">
      <c r="C121" s="23"/>
      <c r="D121" s="23"/>
      <c r="E121" s="23"/>
      <c r="F121" s="23"/>
      <c r="G121" s="23"/>
      <c r="H121" s="23"/>
      <c r="I121" s="23"/>
      <c r="J121" s="23"/>
      <c r="K121" s="23"/>
      <c r="L121" s="23"/>
      <c r="M121" s="23"/>
    </row>
    <row r="122" spans="1:14" x14ac:dyDescent="0.3">
      <c r="C122" s="23"/>
      <c r="D122" s="23"/>
      <c r="E122" s="23"/>
      <c r="F122" s="23"/>
      <c r="G122" s="23"/>
      <c r="H122" s="23"/>
      <c r="I122" s="23"/>
      <c r="J122" s="23"/>
      <c r="K122" s="23"/>
      <c r="L122" s="23"/>
      <c r="M122" s="23"/>
    </row>
    <row r="123" spans="1:14" x14ac:dyDescent="0.3">
      <c r="C123" s="23"/>
      <c r="D123" s="23"/>
      <c r="E123" s="23"/>
      <c r="F123" s="23"/>
      <c r="G123" s="23"/>
      <c r="H123" s="23"/>
      <c r="I123" s="23"/>
      <c r="J123" s="23"/>
      <c r="K123" s="23"/>
      <c r="L123" s="23"/>
      <c r="M123" s="23"/>
    </row>
    <row r="124" spans="1:14" x14ac:dyDescent="0.3">
      <c r="A124" s="12"/>
      <c r="C124" s="23"/>
      <c r="D124" s="23"/>
      <c r="E124" s="23"/>
      <c r="F124" s="23"/>
      <c r="G124" s="23"/>
      <c r="H124" s="23"/>
      <c r="I124" s="23"/>
      <c r="J124" s="23"/>
      <c r="K124" s="23"/>
      <c r="L124" s="23"/>
      <c r="M124" s="23"/>
      <c r="N124" s="12"/>
    </row>
    <row r="125" spans="1:14" x14ac:dyDescent="0.3">
      <c r="A125" s="2"/>
      <c r="B125" s="12"/>
      <c r="C125" s="23"/>
      <c r="D125" s="23"/>
      <c r="E125" s="23"/>
      <c r="F125" s="23"/>
      <c r="G125" s="23"/>
      <c r="H125" s="23"/>
      <c r="I125" s="23"/>
      <c r="J125" s="23"/>
      <c r="K125" s="23"/>
      <c r="L125" s="23"/>
      <c r="M125" s="23"/>
      <c r="N125" s="20"/>
    </row>
    <row r="126" spans="1:14" x14ac:dyDescent="0.3">
      <c r="A126" s="2"/>
      <c r="B126" s="23"/>
      <c r="C126" s="23"/>
      <c r="D126" s="23"/>
      <c r="E126" s="23"/>
      <c r="F126" s="23"/>
      <c r="G126" s="23"/>
      <c r="H126" s="23"/>
      <c r="I126" s="23"/>
      <c r="J126" s="23"/>
      <c r="K126" s="23"/>
      <c r="L126" s="23"/>
      <c r="M126" s="23"/>
      <c r="N126" s="20"/>
    </row>
    <row r="127" spans="1:14" x14ac:dyDescent="0.3">
      <c r="A127" s="2"/>
      <c r="B127" s="23"/>
      <c r="C127" s="23"/>
      <c r="D127" s="23"/>
      <c r="E127" s="23"/>
      <c r="F127" s="23"/>
      <c r="G127" s="23"/>
      <c r="H127" s="23"/>
      <c r="I127" s="23"/>
      <c r="J127" s="23"/>
      <c r="K127" s="23"/>
      <c r="L127" s="23"/>
      <c r="M127" s="23"/>
      <c r="N127" s="20"/>
    </row>
    <row r="128" spans="1:14" x14ac:dyDescent="0.3">
      <c r="A128" s="2"/>
      <c r="B128" s="23"/>
      <c r="C128" s="23"/>
      <c r="D128" s="23"/>
      <c r="E128" s="23"/>
      <c r="F128" s="23"/>
      <c r="G128" s="23"/>
      <c r="H128" s="23"/>
      <c r="I128" s="23"/>
      <c r="J128" s="23"/>
      <c r="K128" s="23"/>
      <c r="L128" s="23"/>
      <c r="M128" s="23"/>
      <c r="N128" s="20"/>
    </row>
    <row r="129" spans="1:14" x14ac:dyDescent="0.3">
      <c r="A129" s="2"/>
      <c r="B129" s="23"/>
      <c r="C129" s="23"/>
      <c r="D129" s="23"/>
      <c r="E129" s="23"/>
      <c r="F129" s="23"/>
      <c r="G129" s="23"/>
      <c r="H129" s="23"/>
      <c r="I129" s="23"/>
      <c r="J129" s="23"/>
      <c r="K129" s="23"/>
      <c r="L129" s="23"/>
      <c r="M129" s="23"/>
      <c r="N129" s="20"/>
    </row>
    <row r="130" spans="1:14" x14ac:dyDescent="0.3">
      <c r="A130" s="2"/>
      <c r="B130" s="23"/>
      <c r="C130" s="23"/>
      <c r="D130" s="23"/>
      <c r="E130" s="23"/>
      <c r="F130" s="23"/>
      <c r="G130" s="23"/>
      <c r="H130" s="23"/>
      <c r="I130" s="23"/>
      <c r="J130" s="23"/>
      <c r="K130" s="23"/>
      <c r="L130" s="23"/>
      <c r="M130" s="23"/>
      <c r="N130" s="20"/>
    </row>
    <row r="131" spans="1:14" x14ac:dyDescent="0.3">
      <c r="A131" s="2"/>
      <c r="B131" s="23"/>
      <c r="C131" s="23"/>
      <c r="D131" s="23"/>
      <c r="E131" s="23"/>
      <c r="F131" s="23"/>
      <c r="G131" s="23"/>
      <c r="H131" s="23"/>
      <c r="I131" s="23"/>
      <c r="J131" s="23"/>
      <c r="K131" s="23"/>
      <c r="L131" s="23"/>
      <c r="M131" s="23"/>
      <c r="N131" s="20"/>
    </row>
    <row r="132" spans="1:14" x14ac:dyDescent="0.3">
      <c r="A132" s="2"/>
      <c r="B132" s="23"/>
      <c r="C132" s="23"/>
      <c r="D132" s="23"/>
      <c r="E132" s="23"/>
      <c r="F132" s="23"/>
      <c r="G132" s="23"/>
      <c r="H132" s="23"/>
      <c r="I132" s="23"/>
      <c r="J132" s="23"/>
      <c r="K132" s="23"/>
      <c r="L132" s="23"/>
      <c r="M132" s="23"/>
      <c r="N132" s="20"/>
    </row>
    <row r="133" spans="1:14" x14ac:dyDescent="0.3">
      <c r="A133" s="2"/>
      <c r="B133" s="23"/>
      <c r="C133" s="23"/>
      <c r="D133" s="23"/>
      <c r="E133" s="23"/>
      <c r="F133" s="23"/>
      <c r="G133" s="23"/>
      <c r="H133" s="23"/>
      <c r="I133" s="23"/>
      <c r="J133" s="23"/>
      <c r="K133" s="23"/>
      <c r="L133" s="23"/>
      <c r="M133" s="23"/>
      <c r="N133" s="20"/>
    </row>
    <row r="134" spans="1:14" x14ac:dyDescent="0.3">
      <c r="A134" s="2"/>
      <c r="B134" s="23"/>
      <c r="C134" s="23"/>
      <c r="D134" s="23"/>
      <c r="E134" s="23"/>
      <c r="F134" s="23"/>
      <c r="G134" s="23"/>
      <c r="H134" s="23"/>
      <c r="I134" s="23"/>
      <c r="J134" s="23"/>
      <c r="K134" s="23"/>
      <c r="L134" s="23"/>
      <c r="M134" s="23"/>
      <c r="N134" s="20"/>
    </row>
    <row r="135" spans="1:14" x14ac:dyDescent="0.3">
      <c r="B135" s="23"/>
      <c r="C135" s="23"/>
      <c r="D135" s="23"/>
      <c r="E135" s="23"/>
      <c r="F135" s="23"/>
      <c r="G135" s="23"/>
      <c r="H135" s="23"/>
      <c r="I135" s="23"/>
      <c r="J135" s="23"/>
      <c r="K135" s="23"/>
      <c r="L135" s="23"/>
      <c r="M135" s="23"/>
    </row>
    <row r="136" spans="1:14" x14ac:dyDescent="0.3">
      <c r="C136" s="23"/>
      <c r="D136" s="23"/>
      <c r="E136" s="23"/>
      <c r="F136" s="23"/>
      <c r="G136" s="23"/>
      <c r="H136" s="23"/>
      <c r="I136" s="23"/>
      <c r="J136" s="23"/>
      <c r="K136" s="23"/>
      <c r="L136" s="23"/>
      <c r="M136" s="23"/>
    </row>
    <row r="137" spans="1:14" x14ac:dyDescent="0.3">
      <c r="C137" s="23"/>
      <c r="D137" s="23"/>
      <c r="E137" s="23"/>
      <c r="F137" s="23"/>
      <c r="G137" s="23"/>
      <c r="H137" s="23"/>
      <c r="I137" s="23"/>
      <c r="J137" s="23"/>
      <c r="K137" s="23"/>
      <c r="L137" s="23"/>
      <c r="M137" s="23"/>
    </row>
    <row r="138" spans="1:14" x14ac:dyDescent="0.3">
      <c r="C138" s="23"/>
      <c r="D138" s="23"/>
      <c r="E138" s="23"/>
      <c r="F138" s="23"/>
      <c r="G138" s="23"/>
      <c r="H138" s="23"/>
      <c r="I138" s="23"/>
      <c r="J138" s="23"/>
      <c r="K138" s="23"/>
      <c r="L138" s="23"/>
      <c r="M138" s="23"/>
    </row>
  </sheetData>
  <mergeCells count="55">
    <mergeCell ref="F14:G14"/>
    <mergeCell ref="F15:G15"/>
    <mergeCell ref="V34:X34"/>
    <mergeCell ref="Y34:AA34"/>
    <mergeCell ref="F5:G5"/>
    <mergeCell ref="F6:G6"/>
    <mergeCell ref="F7:G7"/>
    <mergeCell ref="F8:G8"/>
    <mergeCell ref="F9:G9"/>
    <mergeCell ref="F10:G10"/>
    <mergeCell ref="F11:G11"/>
    <mergeCell ref="F13:G13"/>
    <mergeCell ref="F16:G16"/>
    <mergeCell ref="F17:G17"/>
    <mergeCell ref="F18:G18"/>
    <mergeCell ref="F19:G19"/>
    <mergeCell ref="F20:G20"/>
    <mergeCell ref="F21:G21"/>
    <mergeCell ref="J52:L52"/>
    <mergeCell ref="J53:L53"/>
    <mergeCell ref="J54:L54"/>
    <mergeCell ref="F22:G22"/>
    <mergeCell ref="F23:G23"/>
    <mergeCell ref="I78:L78"/>
    <mergeCell ref="J82:K82"/>
    <mergeCell ref="E78:H78"/>
    <mergeCell ref="F82:G82"/>
    <mergeCell ref="E82:E83"/>
    <mergeCell ref="B5:E5"/>
    <mergeCell ref="B6:E6"/>
    <mergeCell ref="B7:E7"/>
    <mergeCell ref="B8:E8"/>
    <mergeCell ref="B9:E9"/>
    <mergeCell ref="B10:E10"/>
    <mergeCell ref="B11:E11"/>
    <mergeCell ref="B29:E29"/>
    <mergeCell ref="B30:E30"/>
    <mergeCell ref="B32:E32"/>
    <mergeCell ref="B33:E33"/>
    <mergeCell ref="B35:E35"/>
    <mergeCell ref="B36:E36"/>
    <mergeCell ref="B52:E52"/>
    <mergeCell ref="B53:E53"/>
    <mergeCell ref="B54:E54"/>
    <mergeCell ref="B34:E34"/>
    <mergeCell ref="B47:E47"/>
    <mergeCell ref="B48:E48"/>
    <mergeCell ref="B49:E49"/>
    <mergeCell ref="B50:E50"/>
    <mergeCell ref="B51:E51"/>
    <mergeCell ref="B37:E37"/>
    <mergeCell ref="B38:E38"/>
    <mergeCell ref="B39:E39"/>
    <mergeCell ref="B40:E40"/>
    <mergeCell ref="B41:E41"/>
  </mergeCells>
  <dataValidations count="5">
    <dataValidation type="list" allowBlank="1" showInputMessage="1" showErrorMessage="1" sqref="F51" xr:uid="{AF62C933-739C-4EE8-8816-DDD89C1B435B}">
      <formula1>$Q$78:$Q$81</formula1>
    </dataValidation>
    <dataValidation type="list" allowBlank="1" showInputMessage="1" showErrorMessage="1" sqref="F50" xr:uid="{D2804A19-357D-44DE-A238-2A64520E24A8}">
      <formula1>$O$78:$O$79</formula1>
    </dataValidation>
    <dataValidation type="list" allowBlank="1" showInputMessage="1" showErrorMessage="1" sqref="F10" xr:uid="{C83A4193-06D1-4197-8AA0-F7726FF66069}">
      <formula1>$P$78:$P$79</formula1>
    </dataValidation>
    <dataValidation type="list" allowBlank="1" showInputMessage="1" showErrorMessage="1" sqref="F9 F13:F24 F47" xr:uid="{C15FE22C-1AF3-4D70-8E82-BEE1167DCEF4}">
      <formula1>$X$78:$X$79</formula1>
    </dataValidation>
    <dataValidation type="list" allowBlank="1" showInputMessage="1" showErrorMessage="1" sqref="F6:G6" xr:uid="{EB5B4CED-3673-482B-8AAD-6A9141C0D861}">
      <formula1>$W$78:$W$80</formula1>
    </dataValidation>
  </dataValidation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88F34-ACB3-4F31-B7D6-8367C030F633}">
  <sheetPr>
    <tabColor theme="9" tint="0.79998168889431442"/>
  </sheetPr>
  <dimension ref="A3:AA143"/>
  <sheetViews>
    <sheetView showGridLines="0" topLeftCell="I33" zoomScale="90" zoomScaleNormal="90" workbookViewId="0">
      <selection activeCell="U44" sqref="U44:Z44"/>
    </sheetView>
  </sheetViews>
  <sheetFormatPr defaultRowHeight="14.4" x14ac:dyDescent="0.3"/>
  <cols>
    <col min="2" max="2" width="11.88671875" customWidth="1"/>
    <col min="3" max="3" width="11.6640625" customWidth="1"/>
    <col min="4" max="4" width="14.5546875" customWidth="1"/>
    <col min="5" max="5" width="12.33203125" customWidth="1"/>
    <col min="6" max="6" width="12.6640625" customWidth="1"/>
    <col min="7" max="7" width="14.88671875" bestFit="1" customWidth="1"/>
    <col min="8" max="8" width="16.88671875" customWidth="1"/>
    <col min="10" max="10" width="48.109375" bestFit="1" customWidth="1"/>
    <col min="11" max="11" width="9.6640625" customWidth="1"/>
    <col min="13" max="13" width="14.5546875" customWidth="1"/>
    <col min="14" max="14" width="12.109375" customWidth="1"/>
    <col min="15" max="15" width="16.109375" customWidth="1"/>
    <col min="16" max="16" width="15.44140625" customWidth="1"/>
    <col min="20" max="20" width="48.44140625" customWidth="1"/>
    <col min="21" max="21" width="10.109375" customWidth="1"/>
    <col min="22" max="22" width="12.44140625" customWidth="1"/>
    <col min="25" max="25" width="10.44140625" customWidth="1"/>
  </cols>
  <sheetData>
    <row r="3" spans="3:10" x14ac:dyDescent="0.3">
      <c r="F3" s="33" t="s">
        <v>25</v>
      </c>
      <c r="J3" t="s">
        <v>26</v>
      </c>
    </row>
    <row r="4" spans="3:10" x14ac:dyDescent="0.3">
      <c r="C4" s="144" t="s">
        <v>27</v>
      </c>
      <c r="D4" s="145"/>
      <c r="E4" s="145"/>
      <c r="F4" s="146"/>
      <c r="G4" s="156" t="s">
        <v>190</v>
      </c>
      <c r="H4" s="157"/>
      <c r="J4" s="44" t="s">
        <v>29</v>
      </c>
    </row>
    <row r="5" spans="3:10" x14ac:dyDescent="0.3">
      <c r="C5" s="144" t="s">
        <v>30</v>
      </c>
      <c r="D5" s="145"/>
      <c r="E5" s="145"/>
      <c r="F5" s="146"/>
      <c r="G5" s="158" t="s">
        <v>21</v>
      </c>
      <c r="H5" s="158"/>
      <c r="J5" s="49" t="s">
        <v>31</v>
      </c>
    </row>
    <row r="6" spans="3:10" x14ac:dyDescent="0.3">
      <c r="C6" s="144" t="s">
        <v>32</v>
      </c>
      <c r="D6" s="145"/>
      <c r="E6" s="145"/>
      <c r="F6" s="146"/>
      <c r="G6" s="156" t="s">
        <v>191</v>
      </c>
      <c r="H6" s="157"/>
      <c r="J6" s="50" t="s">
        <v>34</v>
      </c>
    </row>
    <row r="7" spans="3:10" x14ac:dyDescent="0.3">
      <c r="C7" s="144"/>
      <c r="D7" s="145"/>
      <c r="E7" s="145"/>
      <c r="F7" s="146"/>
      <c r="G7" s="108" t="s">
        <v>35</v>
      </c>
      <c r="H7" s="108" t="s">
        <v>192</v>
      </c>
      <c r="J7" s="51" t="s">
        <v>36</v>
      </c>
    </row>
    <row r="8" spans="3:10" x14ac:dyDescent="0.3">
      <c r="C8" s="144" t="s">
        <v>37</v>
      </c>
      <c r="D8" s="145"/>
      <c r="E8" s="145"/>
      <c r="F8" s="146"/>
      <c r="G8" s="109" t="s">
        <v>45</v>
      </c>
      <c r="H8" s="109" t="s">
        <v>45</v>
      </c>
    </row>
    <row r="9" spans="3:10" x14ac:dyDescent="0.3">
      <c r="C9" s="144" t="s">
        <v>39</v>
      </c>
      <c r="D9" s="145"/>
      <c r="E9" s="145"/>
      <c r="F9" s="146"/>
      <c r="G9" s="109" t="s">
        <v>40</v>
      </c>
      <c r="H9" s="109" t="s">
        <v>40</v>
      </c>
    </row>
    <row r="10" spans="3:10" x14ac:dyDescent="0.3">
      <c r="C10" s="144" t="s">
        <v>41</v>
      </c>
      <c r="D10" s="145"/>
      <c r="E10" s="145"/>
      <c r="F10" s="146"/>
      <c r="G10" s="109">
        <v>7000</v>
      </c>
      <c r="H10" s="109">
        <v>7000</v>
      </c>
    </row>
    <row r="11" spans="3:10" x14ac:dyDescent="0.3">
      <c r="C11" s="153" t="s">
        <v>193</v>
      </c>
      <c r="D11" s="153"/>
      <c r="E11" s="153"/>
      <c r="F11" s="153"/>
      <c r="G11" s="72">
        <v>0.35</v>
      </c>
    </row>
    <row r="14" spans="3:10" x14ac:dyDescent="0.3">
      <c r="D14" s="68"/>
      <c r="G14" s="170" t="s">
        <v>64</v>
      </c>
      <c r="H14" s="170"/>
    </row>
    <row r="15" spans="3:10" x14ac:dyDescent="0.3">
      <c r="G15" s="100" t="s">
        <v>35</v>
      </c>
      <c r="H15" s="23" t="s">
        <v>194</v>
      </c>
    </row>
    <row r="16" spans="3:10" x14ac:dyDescent="0.3">
      <c r="D16" s="43" t="s">
        <v>42</v>
      </c>
      <c r="E16" s="162" t="s">
        <v>153</v>
      </c>
      <c r="F16" s="163"/>
      <c r="G16" s="57">
        <f>G10</f>
        <v>7000</v>
      </c>
      <c r="H16" s="106"/>
    </row>
    <row r="17" spans="2:10" x14ac:dyDescent="0.3">
      <c r="D17" s="43" t="s">
        <v>44</v>
      </c>
      <c r="E17" s="162" t="s">
        <v>45</v>
      </c>
      <c r="F17" s="163"/>
      <c r="G17" s="57">
        <f>IF(E17=$X$84,G$10,0)</f>
        <v>7000</v>
      </c>
      <c r="H17" s="106"/>
    </row>
    <row r="18" spans="2:10" x14ac:dyDescent="0.3">
      <c r="D18" s="43" t="s">
        <v>47</v>
      </c>
      <c r="E18" s="162" t="s">
        <v>38</v>
      </c>
      <c r="F18" s="163"/>
      <c r="G18" s="57">
        <f>IF(E18=$X$84,G$10,0)</f>
        <v>0</v>
      </c>
      <c r="H18" s="106"/>
    </row>
    <row r="19" spans="2:10" x14ac:dyDescent="0.3">
      <c r="D19" s="43" t="s">
        <v>49</v>
      </c>
      <c r="E19" s="162" t="s">
        <v>45</v>
      </c>
      <c r="F19" s="163"/>
      <c r="G19" s="57">
        <f>IF(E19=$X$84,G$10,0)</f>
        <v>7000</v>
      </c>
      <c r="H19" s="106"/>
    </row>
    <row r="20" spans="2:10" x14ac:dyDescent="0.3">
      <c r="D20" s="43" t="s">
        <v>51</v>
      </c>
      <c r="E20" s="164" t="s">
        <v>38</v>
      </c>
      <c r="F20" s="165"/>
      <c r="G20" s="57">
        <f>IF(E20=$X$84,G$10,0)</f>
        <v>0</v>
      </c>
      <c r="H20" s="106"/>
    </row>
    <row r="21" spans="2:10" x14ac:dyDescent="0.3">
      <c r="D21" s="43" t="s">
        <v>195</v>
      </c>
      <c r="E21" s="166"/>
      <c r="F21" s="167"/>
      <c r="G21" s="109">
        <v>0</v>
      </c>
      <c r="H21" s="109">
        <v>0</v>
      </c>
    </row>
    <row r="22" spans="2:10" x14ac:dyDescent="0.3">
      <c r="D22" s="115" t="s">
        <v>46</v>
      </c>
      <c r="E22" s="166"/>
      <c r="F22" s="167"/>
      <c r="G22" s="109">
        <v>7000</v>
      </c>
      <c r="H22" s="106"/>
    </row>
    <row r="23" spans="2:10" x14ac:dyDescent="0.3">
      <c r="D23" s="115" t="s">
        <v>48</v>
      </c>
      <c r="E23" s="168" t="s">
        <v>38</v>
      </c>
      <c r="F23" s="169"/>
      <c r="G23" s="57">
        <f>IF(E23=$X$84,G$10,0)</f>
        <v>0</v>
      </c>
      <c r="H23" s="106"/>
    </row>
    <row r="24" spans="2:10" x14ac:dyDescent="0.3">
      <c r="D24" s="115" t="s">
        <v>50</v>
      </c>
      <c r="E24" s="164" t="s">
        <v>38</v>
      </c>
      <c r="F24" s="165"/>
      <c r="G24" s="57">
        <f>IF(E24=$X$84,G$10,0)</f>
        <v>0</v>
      </c>
      <c r="H24" s="106"/>
    </row>
    <row r="25" spans="2:10" x14ac:dyDescent="0.3">
      <c r="D25" s="115" t="s">
        <v>52</v>
      </c>
      <c r="E25" s="166"/>
      <c r="F25" s="167"/>
      <c r="G25" s="106"/>
      <c r="H25" s="109">
        <v>0</v>
      </c>
    </row>
    <row r="26" spans="2:10" x14ac:dyDescent="0.3">
      <c r="D26" s="115"/>
      <c r="E26" s="161" t="s">
        <v>196</v>
      </c>
      <c r="F26" s="161"/>
      <c r="G26" s="161"/>
      <c r="H26" s="161"/>
    </row>
    <row r="27" spans="2:10" x14ac:dyDescent="0.3">
      <c r="D27" s="37"/>
      <c r="E27" s="161"/>
      <c r="F27" s="161"/>
      <c r="G27" s="161"/>
      <c r="H27" s="161"/>
    </row>
    <row r="28" spans="2:10" x14ac:dyDescent="0.3">
      <c r="D28" s="37"/>
      <c r="E28" s="161"/>
      <c r="F28" s="161"/>
      <c r="G28" s="161"/>
      <c r="H28" s="161"/>
    </row>
    <row r="29" spans="2:10" ht="15" customHeight="1" x14ac:dyDescent="0.3"/>
    <row r="30" spans="2:10" ht="18" x14ac:dyDescent="0.35">
      <c r="B30" s="70" t="s">
        <v>54</v>
      </c>
    </row>
    <row r="32" spans="2:10" x14ac:dyDescent="0.3">
      <c r="B32" s="46" t="s">
        <v>55</v>
      </c>
      <c r="J32" s="46" t="s">
        <v>56</v>
      </c>
    </row>
    <row r="34" spans="2:27" x14ac:dyDescent="0.3">
      <c r="B34" s="141" t="s">
        <v>57</v>
      </c>
      <c r="C34" s="142"/>
      <c r="D34" s="142"/>
      <c r="E34" s="143"/>
      <c r="F34" s="59">
        <f>IF(G5="MZ-VAV",G10*0.0015,G10*0.0011)</f>
        <v>7.7</v>
      </c>
    </row>
    <row r="35" spans="2:27" x14ac:dyDescent="0.3">
      <c r="B35" s="141" t="s">
        <v>58</v>
      </c>
      <c r="C35" s="142"/>
      <c r="D35" s="142"/>
      <c r="E35" s="143"/>
      <c r="F35" s="65">
        <f>SMALL($S$83:$S$107,COUNTIF($S$83:$S$107,"&lt;="&amp;F34))</f>
        <v>7.5</v>
      </c>
    </row>
    <row r="37" spans="2:27" ht="45" customHeight="1" x14ac:dyDescent="0.3">
      <c r="B37" s="141" t="s">
        <v>59</v>
      </c>
      <c r="C37" s="142"/>
      <c r="D37" s="142"/>
      <c r="E37" s="143"/>
      <c r="F37" s="60" t="s">
        <v>60</v>
      </c>
      <c r="G37" s="60" t="s">
        <v>61</v>
      </c>
      <c r="H37" s="60" t="s">
        <v>62</v>
      </c>
      <c r="J37" s="113" t="s">
        <v>197</v>
      </c>
      <c r="K37" s="60" t="s">
        <v>64</v>
      </c>
      <c r="L37" s="64" t="s">
        <v>65</v>
      </c>
      <c r="M37" s="60" t="s">
        <v>66</v>
      </c>
      <c r="Q37" s="37"/>
      <c r="R37" s="37"/>
      <c r="S37" s="37"/>
      <c r="T37" s="37"/>
    </row>
    <row r="38" spans="2:27" x14ac:dyDescent="0.3">
      <c r="B38" s="138" t="s">
        <v>67</v>
      </c>
      <c r="C38" s="139"/>
      <c r="D38" s="139"/>
      <c r="E38" s="140"/>
      <c r="F38" s="38">
        <f>G10</f>
        <v>7000</v>
      </c>
      <c r="G38" s="39" t="s">
        <v>68</v>
      </c>
      <c r="H38" s="42">
        <f>IF(G5="MZ-VAV",F38*0.0013,F38*0.00094)</f>
        <v>6.58</v>
      </c>
      <c r="J38" s="61" t="s">
        <v>69</v>
      </c>
      <c r="K38" s="62">
        <f>G10</f>
        <v>7000</v>
      </c>
      <c r="L38" s="63">
        <f t="shared" ref="L38:L47" si="0">IF(AND(G$5="MZ-VAV",G$10&gt;10000),U42,IF(AND(G$5="MZ-VAV",G$10&lt;=10000,G$10&gt;5000),V42,IF(G$5="MZ-VAV",W42,IF(G$10&gt;10000,X42,IF(AND(G$10&lt;=10000,G$10&gt;5000),Y42,Z42)))))</f>
        <v>0.26699447351984884</v>
      </c>
      <c r="M38" s="63">
        <f>K38*L38/1000</f>
        <v>1.8689613146389419</v>
      </c>
      <c r="P38" s="37"/>
      <c r="Q38" s="37"/>
      <c r="R38" s="37"/>
      <c r="S38" s="37"/>
      <c r="T38" s="37"/>
    </row>
    <row r="39" spans="2:27" x14ac:dyDescent="0.3">
      <c r="B39" s="138" t="s">
        <v>70</v>
      </c>
      <c r="C39" s="139"/>
      <c r="D39" s="139"/>
      <c r="E39" s="140"/>
      <c r="F39" s="38">
        <f>IF(E16=Z84,G16,0)</f>
        <v>0</v>
      </c>
      <c r="G39" s="40">
        <v>0.5</v>
      </c>
      <c r="H39" s="42">
        <f>G39*F39/4131</f>
        <v>0</v>
      </c>
      <c r="J39" s="110" t="s">
        <v>71</v>
      </c>
      <c r="K39" s="57">
        <f>IF(OR(E16=Z83,E16=Z84),G10,0)</f>
        <v>0</v>
      </c>
      <c r="L39" s="58">
        <f t="shared" si="0"/>
        <v>8.3644003518010157E-2</v>
      </c>
      <c r="M39" s="58">
        <f t="shared" ref="M39:M49" si="1">K39*L39/1000</f>
        <v>0</v>
      </c>
      <c r="P39" s="37"/>
      <c r="Q39" s="37"/>
      <c r="R39" s="37"/>
      <c r="S39" s="37"/>
      <c r="T39" s="37"/>
      <c r="V39" s="155" t="s">
        <v>72</v>
      </c>
      <c r="W39" s="155"/>
      <c r="X39" s="155"/>
      <c r="Y39" s="155" t="s">
        <v>73</v>
      </c>
      <c r="Z39" s="155"/>
      <c r="AA39" s="155"/>
    </row>
    <row r="40" spans="2:27" ht="15" customHeight="1" x14ac:dyDescent="0.3">
      <c r="B40" s="138" t="s">
        <v>74</v>
      </c>
      <c r="C40" s="139"/>
      <c r="D40" s="139"/>
      <c r="E40" s="140"/>
      <c r="F40" s="38">
        <f>IF(OR(E16=Z85,E16=Z86),G10,0)</f>
        <v>7000</v>
      </c>
      <c r="G40" s="40">
        <v>0.9</v>
      </c>
      <c r="H40" s="42">
        <f>G40*F40/4131</f>
        <v>1.5250544662309369</v>
      </c>
      <c r="J40" s="110" t="s">
        <v>75</v>
      </c>
      <c r="K40" s="57">
        <f>IF(E16=Z85,G10,0)</f>
        <v>7000</v>
      </c>
      <c r="L40" s="58">
        <f t="shared" si="0"/>
        <v>0.18543500810488656</v>
      </c>
      <c r="M40" s="58">
        <f t="shared" si="1"/>
        <v>1.2980450567342059</v>
      </c>
      <c r="T40" t="s">
        <v>76</v>
      </c>
      <c r="U40" s="107" t="s">
        <v>77</v>
      </c>
      <c r="V40" s="107" t="s">
        <v>78</v>
      </c>
      <c r="W40" s="107" t="s">
        <v>79</v>
      </c>
      <c r="X40" s="107" t="s">
        <v>77</v>
      </c>
      <c r="Y40" s="107" t="s">
        <v>78</v>
      </c>
      <c r="Z40" s="107" t="s">
        <v>79</v>
      </c>
    </row>
    <row r="41" spans="2:27" ht="15" customHeight="1" x14ac:dyDescent="0.3">
      <c r="B41" s="138" t="s">
        <v>80</v>
      </c>
      <c r="C41" s="139"/>
      <c r="D41" s="139"/>
      <c r="E41" s="140"/>
      <c r="F41" s="73">
        <f>G21</f>
        <v>0</v>
      </c>
      <c r="G41" s="40">
        <f>2.2*0.625-0.5</f>
        <v>0.875</v>
      </c>
      <c r="H41" s="74">
        <f t="shared" ref="H41:H45" si="2">G41*F41/4131</f>
        <v>0</v>
      </c>
      <c r="J41" s="110" t="s">
        <v>81</v>
      </c>
      <c r="K41" s="57">
        <f>IF($E16=$Z$86,$G$10,0)</f>
        <v>0</v>
      </c>
      <c r="L41" s="58">
        <f t="shared" si="0"/>
        <v>0.20547667391061342</v>
      </c>
      <c r="M41" s="58">
        <f t="shared" si="1"/>
        <v>0</v>
      </c>
      <c r="N41" s="107"/>
      <c r="O41" s="107"/>
      <c r="P41" s="107"/>
      <c r="Q41" s="107"/>
      <c r="R41" s="107"/>
    </row>
    <row r="42" spans="2:27" ht="15" customHeight="1" x14ac:dyDescent="0.3">
      <c r="B42" s="138" t="s">
        <v>82</v>
      </c>
      <c r="C42" s="139"/>
      <c r="D42" s="139"/>
      <c r="E42" s="140"/>
      <c r="F42" s="73">
        <f>H21</f>
        <v>0</v>
      </c>
      <c r="G42" s="40">
        <v>0.875</v>
      </c>
      <c r="H42" s="74">
        <f t="shared" si="2"/>
        <v>0</v>
      </c>
      <c r="J42" s="110" t="s">
        <v>44</v>
      </c>
      <c r="K42" s="57">
        <f>IF(E17=$X$84,G10,0)</f>
        <v>7000</v>
      </c>
      <c r="L42" s="58">
        <f t="shared" si="0"/>
        <v>0.12469667468357742</v>
      </c>
      <c r="M42" s="58">
        <f t="shared" si="1"/>
        <v>0.87287672278504191</v>
      </c>
      <c r="N42" s="3"/>
      <c r="O42" s="3"/>
      <c r="P42" s="3"/>
      <c r="Q42" s="3"/>
      <c r="R42" s="3"/>
      <c r="T42" t="s">
        <v>83</v>
      </c>
      <c r="U42" s="30">
        <v>0.480042192663232</v>
      </c>
      <c r="V42" s="30">
        <v>0.47247114743046226</v>
      </c>
      <c r="W42" s="30">
        <v>0.41298194814204048</v>
      </c>
      <c r="X42" s="30">
        <v>0.24829908242469739</v>
      </c>
      <c r="Y42" s="30">
        <v>0.26699447351984884</v>
      </c>
      <c r="Z42" s="30">
        <v>0.24303028515175154</v>
      </c>
    </row>
    <row r="43" spans="2:27" ht="15" customHeight="1" x14ac:dyDescent="0.3">
      <c r="B43" s="138" t="s">
        <v>84</v>
      </c>
      <c r="C43" s="139"/>
      <c r="D43" s="139"/>
      <c r="E43" s="140"/>
      <c r="F43" s="38">
        <f>IF(E17=X83,G10,0)</f>
        <v>0</v>
      </c>
      <c r="G43" s="40">
        <v>-0.6</v>
      </c>
      <c r="H43" s="42">
        <f t="shared" si="2"/>
        <v>0</v>
      </c>
      <c r="J43" s="110" t="s">
        <v>47</v>
      </c>
      <c r="K43" s="57">
        <f>IF(E18=$X$84,G10,0)</f>
        <v>0</v>
      </c>
      <c r="L43" s="58">
        <f t="shared" si="0"/>
        <v>5.2530353108128813E-2</v>
      </c>
      <c r="M43" s="58">
        <f t="shared" si="1"/>
        <v>0</v>
      </c>
      <c r="N43" s="3"/>
      <c r="O43" s="3"/>
      <c r="P43" s="3"/>
      <c r="Q43" s="3"/>
      <c r="R43" s="3"/>
      <c r="T43" t="s">
        <v>85</v>
      </c>
      <c r="U43" s="30">
        <v>7.3260688213430791E-2</v>
      </c>
      <c r="V43" s="30">
        <v>7.9265464074544267E-2</v>
      </c>
      <c r="W43" s="30">
        <v>9.394659388927229E-2</v>
      </c>
      <c r="X43" s="30">
        <v>7.5394943815769111E-2</v>
      </c>
      <c r="Y43" s="30">
        <v>8.3644003518010157E-2</v>
      </c>
      <c r="Z43" s="30">
        <v>9.7212114060700655E-2</v>
      </c>
    </row>
    <row r="44" spans="2:27" ht="15" customHeight="1" x14ac:dyDescent="0.3">
      <c r="B44" s="138" t="s">
        <v>86</v>
      </c>
      <c r="C44" s="139"/>
      <c r="D44" s="139"/>
      <c r="E44" s="140"/>
      <c r="F44" s="38">
        <f>IF(AND(E18=X83,E19=X83,E20=X83),G10,0)</f>
        <v>0</v>
      </c>
      <c r="G44" s="40">
        <v>-0.3</v>
      </c>
      <c r="H44" s="42">
        <f t="shared" si="2"/>
        <v>0</v>
      </c>
      <c r="J44" s="110" t="s">
        <v>87</v>
      </c>
      <c r="K44" s="57">
        <f>IF(E19=$X$84,G10,0)</f>
        <v>7000</v>
      </c>
      <c r="L44" s="58">
        <f t="shared" si="0"/>
        <v>6.2933824902511093E-2</v>
      </c>
      <c r="M44" s="58">
        <f t="shared" si="1"/>
        <v>0.44053677431757765</v>
      </c>
      <c r="N44" s="3"/>
      <c r="O44" s="3"/>
      <c r="P44" s="3"/>
      <c r="Q44" s="3"/>
      <c r="R44" s="3"/>
      <c r="T44" t="s">
        <v>88</v>
      </c>
      <c r="U44" s="30">
        <v>0.16544989147165456</v>
      </c>
      <c r="V44" s="30">
        <v>0.17662576240254202</v>
      </c>
      <c r="W44" s="30">
        <v>0.20986202636591322</v>
      </c>
      <c r="X44" s="30">
        <v>0.16767207082659175</v>
      </c>
      <c r="Y44" s="30">
        <v>0.18543500810488656</v>
      </c>
      <c r="Z44" s="30">
        <v>0.21706458534324582</v>
      </c>
    </row>
    <row r="45" spans="2:27" ht="15" customHeight="1" x14ac:dyDescent="0.3">
      <c r="B45" s="138" t="s">
        <v>89</v>
      </c>
      <c r="C45" s="139"/>
      <c r="D45" s="139"/>
      <c r="E45" s="140"/>
      <c r="F45" s="38">
        <f>IF(E20=X84,G10,0)</f>
        <v>0</v>
      </c>
      <c r="G45" s="40">
        <v>-0.2</v>
      </c>
      <c r="H45" s="42">
        <f t="shared" si="2"/>
        <v>0</v>
      </c>
      <c r="J45" s="110" t="s">
        <v>51</v>
      </c>
      <c r="K45" s="57">
        <f>IF(E20=$X$84,G10,0)</f>
        <v>0</v>
      </c>
      <c r="L45" s="58">
        <f t="shared" si="0"/>
        <v>4.2093671181094416E-2</v>
      </c>
      <c r="M45" s="58">
        <f t="shared" si="1"/>
        <v>0</v>
      </c>
      <c r="N45" s="3"/>
      <c r="O45" s="3"/>
      <c r="P45" s="3"/>
      <c r="Q45" s="3"/>
      <c r="R45" s="3"/>
      <c r="T45" t="s">
        <v>90</v>
      </c>
      <c r="U45" s="30">
        <v>0.18400785485257742</v>
      </c>
      <c r="V45" s="30">
        <v>0.19590563731515243</v>
      </c>
      <c r="W45" s="30">
        <v>0.23285256485146011</v>
      </c>
      <c r="X45" s="30">
        <v>0.18599636767076033</v>
      </c>
      <c r="Y45" s="30">
        <v>0.20547667391061342</v>
      </c>
      <c r="Z45" s="30">
        <v>0.24051581279369563</v>
      </c>
    </row>
    <row r="46" spans="2:27" ht="15" customHeight="1" x14ac:dyDescent="0.3">
      <c r="B46" s="141" t="s">
        <v>91</v>
      </c>
      <c r="C46" s="142"/>
      <c r="D46" s="142"/>
      <c r="E46" s="143"/>
      <c r="F46" s="27"/>
      <c r="G46" s="9"/>
      <c r="H46" s="41">
        <f>SUM(H38:H45)</f>
        <v>8.1050544662309374</v>
      </c>
      <c r="J46" s="110" t="s">
        <v>92</v>
      </c>
      <c r="K46" s="57">
        <f>G22</f>
        <v>7000</v>
      </c>
      <c r="L46" s="58">
        <f t="shared" si="0"/>
        <v>4.2093671181094416E-2</v>
      </c>
      <c r="M46" s="58">
        <f t="shared" si="1"/>
        <v>0.29465569826766091</v>
      </c>
      <c r="N46" s="3"/>
      <c r="O46" s="3"/>
      <c r="P46" s="3"/>
      <c r="Q46" s="3"/>
      <c r="R46" s="3"/>
      <c r="T46" t="s">
        <v>93</v>
      </c>
      <c r="U46" s="30">
        <v>0.11002795027521339</v>
      </c>
      <c r="V46" s="30">
        <v>0.11841599136629399</v>
      </c>
      <c r="W46" s="30">
        <v>0.14050916740960107</v>
      </c>
      <c r="X46" s="30">
        <v>0.11248346336634607</v>
      </c>
      <c r="Y46" s="30">
        <v>0.12469667468357742</v>
      </c>
      <c r="Z46" s="30">
        <v>0.14581817109105091</v>
      </c>
    </row>
    <row r="47" spans="2:27" ht="15" customHeight="1" x14ac:dyDescent="0.3">
      <c r="E47" s="68"/>
      <c r="F47" s="111"/>
      <c r="G47" s="69"/>
      <c r="J47" s="110" t="s">
        <v>94</v>
      </c>
      <c r="K47" s="57">
        <f>G21</f>
        <v>0</v>
      </c>
      <c r="L47" s="58">
        <f t="shared" si="0"/>
        <v>0.16933058830993714</v>
      </c>
      <c r="M47" s="58">
        <f t="shared" si="1"/>
        <v>0</v>
      </c>
      <c r="N47" s="3"/>
      <c r="O47" s="3"/>
      <c r="P47" s="3"/>
      <c r="Q47" s="3"/>
      <c r="R47" s="3"/>
      <c r="T47" t="s">
        <v>95</v>
      </c>
      <c r="U47" s="30">
        <v>5.4919338675234686E-2</v>
      </c>
      <c r="V47" s="30">
        <v>4.970048602575472E-2</v>
      </c>
      <c r="W47" s="30">
        <v>4.7112922352956887E-2</v>
      </c>
      <c r="X47" s="30">
        <v>5.6722001193823923E-2</v>
      </c>
      <c r="Y47" s="30">
        <v>5.2530353108128813E-2</v>
      </c>
      <c r="Z47" s="30">
        <v>4.8606057030350286E-2</v>
      </c>
    </row>
    <row r="48" spans="2:27" ht="15" customHeight="1" x14ac:dyDescent="0.3">
      <c r="E48" s="68"/>
      <c r="F48" s="111"/>
      <c r="G48" s="69"/>
      <c r="J48" s="110" t="s">
        <v>96</v>
      </c>
      <c r="K48" s="57">
        <f>G23</f>
        <v>0</v>
      </c>
      <c r="L48" s="58">
        <f>IF(AND(G$5="MZ-VAV",K$38&gt;10000),U52,IF(AND(G$5="MZ-VAV",K$38&lt;=10000,K$38&gt;5000),V52,IF(G$5="MZ-VAV",W52,IF(K$38&gt;10000,X52,IF(AND(K$38&lt;=10000,K$38&gt;5000),Y52,Z52)))))</f>
        <v>4.2093671181094416E-2</v>
      </c>
      <c r="M48" s="58">
        <f t="shared" si="1"/>
        <v>0</v>
      </c>
      <c r="N48" s="3"/>
      <c r="O48" s="3"/>
      <c r="P48" s="3"/>
      <c r="Q48" s="3"/>
      <c r="R48" s="3"/>
      <c r="T48" t="s">
        <v>97</v>
      </c>
      <c r="U48" s="30">
        <v>7.3260688213430791E-2</v>
      </c>
      <c r="V48" s="30">
        <v>5.9575714976953242E-2</v>
      </c>
      <c r="W48" s="30">
        <v>7.0564149803406695E-2</v>
      </c>
      <c r="X48" s="30">
        <v>7.5394943815769111E-2</v>
      </c>
      <c r="Y48" s="30">
        <v>6.2933824902511093E-2</v>
      </c>
      <c r="Z48" s="30">
        <v>6.0757571287937878E-2</v>
      </c>
    </row>
    <row r="49" spans="2:26" ht="15" customHeight="1" x14ac:dyDescent="0.3">
      <c r="E49" s="173"/>
      <c r="F49" s="175" t="s">
        <v>102</v>
      </c>
      <c r="G49" s="171" t="s">
        <v>198</v>
      </c>
      <c r="J49" s="110" t="s">
        <v>98</v>
      </c>
      <c r="K49" s="57">
        <f>G24</f>
        <v>0</v>
      </c>
      <c r="L49" s="58">
        <f>IF(AND(G$5="MZ-VAV",K$38&gt;10000),U53,IF(AND(G$5="MZ-VAV",K$38&lt;=10000,K$38&gt;5000),V53,IF(G$5="MZ-VAV",W53,IF(K$38&gt;10000,X53,IF(AND(K$38&lt;=10000,K$38&gt;5000),Y53,Z53)))))</f>
        <v>0.10422981466087722</v>
      </c>
      <c r="M49" s="58">
        <f t="shared" si="1"/>
        <v>0</v>
      </c>
      <c r="N49" s="3"/>
      <c r="O49" s="3"/>
      <c r="P49" s="3"/>
      <c r="Q49" s="3"/>
      <c r="R49" s="3"/>
      <c r="T49" t="s">
        <v>99</v>
      </c>
      <c r="U49" s="30">
        <v>3.6599443526147635E-2</v>
      </c>
      <c r="V49" s="30">
        <v>3.9804338915752746E-2</v>
      </c>
      <c r="W49" s="30">
        <v>4.7112922352956887E-2</v>
      </c>
      <c r="X49" s="30">
        <v>3.7943122962558362E-2</v>
      </c>
      <c r="Y49" s="30">
        <v>4.2093671181094416E-2</v>
      </c>
      <c r="Z49" s="30">
        <v>4.8606057030350286E-2</v>
      </c>
    </row>
    <row r="50" spans="2:26" ht="15" customHeight="1" x14ac:dyDescent="0.3">
      <c r="E50" s="173"/>
      <c r="F50" s="175"/>
      <c r="G50" s="171"/>
      <c r="J50" s="112"/>
      <c r="L50" s="112" t="s">
        <v>100</v>
      </c>
      <c r="M50" s="58">
        <f>SUM(M38:M49)</f>
        <v>4.7750755667434293</v>
      </c>
      <c r="N50" s="3"/>
      <c r="O50" s="3"/>
      <c r="P50" s="3"/>
      <c r="Q50" s="3"/>
      <c r="R50" s="3"/>
      <c r="T50" t="s">
        <v>101</v>
      </c>
      <c r="U50" s="30">
        <v>3.6599443526147635E-2</v>
      </c>
      <c r="V50" s="30">
        <v>3.9804338915752746E-2</v>
      </c>
      <c r="W50" s="30">
        <v>4.7112922352956887E-2</v>
      </c>
      <c r="X50" s="30">
        <v>3.7943122962558362E-2</v>
      </c>
      <c r="Y50" s="30">
        <v>4.2093671181094416E-2</v>
      </c>
      <c r="Z50" s="30">
        <v>4.8606057030350286E-2</v>
      </c>
    </row>
    <row r="51" spans="2:26" ht="15" customHeight="1" x14ac:dyDescent="0.3">
      <c r="E51" s="174"/>
      <c r="F51" s="176"/>
      <c r="G51" s="172"/>
      <c r="N51" s="3"/>
      <c r="O51" s="3"/>
      <c r="P51" s="3"/>
      <c r="Q51" s="3"/>
      <c r="R51" s="3"/>
      <c r="T51" t="s">
        <v>103</v>
      </c>
      <c r="U51" s="30">
        <v>0.15063497043753737</v>
      </c>
      <c r="V51" s="30">
        <v>0.16115925993539515</v>
      </c>
      <c r="W51" s="30">
        <v>0.19142434786833451</v>
      </c>
      <c r="X51" s="30">
        <v>0.15299240099749306</v>
      </c>
      <c r="Y51" s="30">
        <v>0.16933058830993714</v>
      </c>
      <c r="Z51" s="30">
        <v>0.19825339044193654</v>
      </c>
    </row>
    <row r="52" spans="2:26" ht="15" customHeight="1" x14ac:dyDescent="0.3">
      <c r="B52" s="138" t="s">
        <v>104</v>
      </c>
      <c r="C52" s="139"/>
      <c r="D52" s="139"/>
      <c r="E52" s="140"/>
      <c r="F52" s="116" t="s">
        <v>45</v>
      </c>
      <c r="G52" s="116" t="s">
        <v>45</v>
      </c>
      <c r="J52" s="110" t="s">
        <v>105</v>
      </c>
      <c r="K52" s="57">
        <f>H10</f>
        <v>7000</v>
      </c>
      <c r="L52" s="58">
        <f>IF(AND(G$5="MZ-VAV",K$52&gt;10000),U56,IF(AND(G$5="MZ-VAV",K$52&lt;=10000,K$52&gt;5000),V56,IF(G$5="MZ-VAV",W56,IF(K$52&gt;10000,X56,IF(AND(K$52&lt;=10000,K$52&gt;5000),Y56,Z56)))))</f>
        <v>0.19187363677673422</v>
      </c>
      <c r="M52" s="58">
        <f t="shared" ref="M52:M54" si="3">K52*L52/1000</f>
        <v>1.3431154574371396</v>
      </c>
      <c r="N52" s="3"/>
      <c r="O52" s="3"/>
      <c r="P52" s="3"/>
      <c r="Q52" s="3"/>
      <c r="R52" s="3"/>
      <c r="T52" t="s">
        <v>106</v>
      </c>
      <c r="U52" s="30">
        <v>3.6599443526147635E-2</v>
      </c>
      <c r="V52" s="30">
        <v>3.9804338915752746E-2</v>
      </c>
      <c r="W52" s="30">
        <v>4.7112922352956887E-2</v>
      </c>
      <c r="X52" s="30">
        <v>3.7943122962558362E-2</v>
      </c>
      <c r="Y52" s="30">
        <v>4.2093671181094416E-2</v>
      </c>
      <c r="Z52" s="30">
        <v>4.8606057030350286E-2</v>
      </c>
    </row>
    <row r="53" spans="2:26" ht="15" customHeight="1" x14ac:dyDescent="0.3">
      <c r="B53" s="138" t="s">
        <v>107</v>
      </c>
      <c r="C53" s="139"/>
      <c r="D53" s="139"/>
      <c r="E53" s="140"/>
      <c r="F53" s="45" cm="1">
        <f t="array" ref="F53">INDEX($S$83:$S$107,MATCH(TRUE,$S$83:$S$107&gt;=F54,0)+IF(F52=$X$84,1,IF(F52=X$85,2,0)))</f>
        <v>10</v>
      </c>
      <c r="G53" s="45" cm="1">
        <f t="array" ref="G53">INDEX($S$83:$S$107,MATCH(TRUE,$S$83:$S$107&gt;=G54,0)+IF(G52=$X$84,1,IF(G52=X$85,2,0)))</f>
        <v>5</v>
      </c>
      <c r="J53" s="110" t="s">
        <v>108</v>
      </c>
      <c r="K53" s="57">
        <f>H25</f>
        <v>0</v>
      </c>
      <c r="L53" s="58">
        <f>IF(AND(G$5="MZ-VAV",K$52&gt;10000),U57,IF(AND(G$5="MZ-VAV",K$52&lt;=10000,K$52&gt;5000),V57,IF(G$5="MZ-VAV",W57,IF(K$52&gt;10000,X57,IF(AND(K$52&lt;=10000,K$52&gt;5000),Y57,Z57)))))</f>
        <v>4.3164661719191783E-2</v>
      </c>
      <c r="M53" s="58">
        <f t="shared" si="3"/>
        <v>0</v>
      </c>
      <c r="N53" s="3"/>
      <c r="O53" s="3"/>
      <c r="P53" s="3"/>
      <c r="Q53" s="3"/>
      <c r="R53" s="3"/>
      <c r="T53" t="s">
        <v>109</v>
      </c>
      <c r="U53" s="30">
        <v>0</v>
      </c>
      <c r="V53" s="30">
        <v>0</v>
      </c>
      <c r="W53" s="30">
        <v>0</v>
      </c>
      <c r="X53" s="30">
        <v>9.3977336369995002E-2</v>
      </c>
      <c r="Y53" s="30">
        <v>0.10422981466087722</v>
      </c>
      <c r="Z53" s="30">
        <v>7.2909085545525415E-2</v>
      </c>
    </row>
    <row r="54" spans="2:26" ht="15" customHeight="1" x14ac:dyDescent="0.3">
      <c r="B54" s="138" t="s">
        <v>110</v>
      </c>
      <c r="C54" s="139"/>
      <c r="D54" s="139"/>
      <c r="E54" s="140"/>
      <c r="F54" s="45">
        <f>H46-G11*H46</f>
        <v>5.2682854030501094</v>
      </c>
      <c r="G54" s="45">
        <f>H46-F54</f>
        <v>2.836769063180828</v>
      </c>
      <c r="J54" s="110" t="s">
        <v>111</v>
      </c>
      <c r="K54" s="57">
        <f>H21</f>
        <v>0</v>
      </c>
      <c r="L54" s="58">
        <f>IF(AND(G$5="MZ-VAV",K$52&gt;10000),U58,IF(AND(G$5="MZ-VAV",K$52&lt;=10000,K$52&gt;5000),V58,IF(G$5="MZ-VAV",W58,IF(K$52&gt;10000,X58,IF(AND(K$52&lt;=10000,K$52&gt;5000),Y58,Z58)))))</f>
        <v>0.17318764075960427</v>
      </c>
      <c r="M54" s="58">
        <f t="shared" si="3"/>
        <v>0</v>
      </c>
      <c r="N54" s="3"/>
      <c r="O54" s="3">
        <f>11*0.7457/0.88</f>
        <v>9.3212500000000009</v>
      </c>
      <c r="P54" s="3"/>
      <c r="Q54" s="3"/>
      <c r="R54" s="3"/>
      <c r="U54" s="30"/>
      <c r="V54" s="30"/>
      <c r="W54" s="30"/>
      <c r="X54" s="30"/>
      <c r="Y54" s="30"/>
      <c r="Z54" s="30"/>
    </row>
    <row r="55" spans="2:26" ht="15" customHeight="1" x14ac:dyDescent="0.3">
      <c r="B55" s="138" t="s">
        <v>112</v>
      </c>
      <c r="C55" s="139"/>
      <c r="D55" s="139"/>
      <c r="E55" s="140"/>
      <c r="F55" s="52" t="s">
        <v>139</v>
      </c>
      <c r="G55" s="53" t="s">
        <v>139</v>
      </c>
      <c r="L55" s="112" t="s">
        <v>199</v>
      </c>
      <c r="M55" s="58">
        <f>SUM(M52:M54)</f>
        <v>1.3431154574371396</v>
      </c>
      <c r="O55">
        <f>O54*0.11</f>
        <v>1.0253375</v>
      </c>
      <c r="P55" s="30"/>
      <c r="Q55" s="30"/>
      <c r="R55" s="30"/>
      <c r="S55" s="30"/>
      <c r="T55" s="30"/>
      <c r="U55" s="30"/>
    </row>
    <row r="56" spans="2:26" ht="15" customHeight="1" x14ac:dyDescent="0.3">
      <c r="B56" s="138" t="s">
        <v>115</v>
      </c>
      <c r="C56" s="139"/>
      <c r="D56" s="139"/>
      <c r="E56" s="140"/>
      <c r="F56" s="67">
        <v>4</v>
      </c>
      <c r="G56" s="67">
        <v>4</v>
      </c>
      <c r="N56" s="3"/>
      <c r="O56" s="3">
        <f>O55/4</f>
        <v>0.256334375</v>
      </c>
      <c r="P56" s="3"/>
      <c r="Q56" s="3"/>
      <c r="R56" s="3"/>
      <c r="S56" s="3"/>
      <c r="T56" t="s">
        <v>116</v>
      </c>
      <c r="U56" s="30">
        <v>0.24829908242469739</v>
      </c>
      <c r="V56" s="30">
        <v>0.25638049206396912</v>
      </c>
      <c r="W56" s="30">
        <v>0.23087877089416395</v>
      </c>
      <c r="X56" s="30">
        <v>0.19995070684515945</v>
      </c>
      <c r="Y56" s="30">
        <v>0.19187363677673422</v>
      </c>
      <c r="Z56" s="30">
        <v>0.19442422812140123</v>
      </c>
    </row>
    <row r="57" spans="2:26" ht="15" customHeight="1" x14ac:dyDescent="0.3">
      <c r="B57" s="138" t="s">
        <v>117</v>
      </c>
      <c r="C57" s="139"/>
      <c r="D57" s="139"/>
      <c r="E57" s="140"/>
      <c r="F57" s="54">
        <f>N100</f>
        <v>0.82355423124869875</v>
      </c>
      <c r="G57" s="54">
        <f>IF(G53&gt;1,N121,"N/A")</f>
        <v>0.78665222105029309</v>
      </c>
      <c r="J57" s="153" t="s">
        <v>118</v>
      </c>
      <c r="K57" s="153"/>
      <c r="L57" s="153"/>
      <c r="M57" s="55">
        <f>M50+M55</f>
        <v>6.118191024180569</v>
      </c>
      <c r="N57" s="3"/>
      <c r="O57" s="3">
        <f>O56*4360</f>
        <v>1117.6178749999999</v>
      </c>
      <c r="P57" s="3"/>
      <c r="Q57" s="3"/>
      <c r="R57" s="3"/>
      <c r="S57" s="3"/>
      <c r="T57" t="s">
        <v>119</v>
      </c>
      <c r="U57" s="30">
        <v>3.7943122962558362E-2</v>
      </c>
      <c r="V57" s="30">
        <v>4.223702834128551E-2</v>
      </c>
      <c r="W57" s="30">
        <v>4.860605703035023E-2</v>
      </c>
      <c r="X57" s="30">
        <v>3.8768919240608907E-2</v>
      </c>
      <c r="Y57" s="30">
        <v>4.3164661719191783E-2</v>
      </c>
      <c r="Z57" s="30">
        <v>4.8606057030350314E-2</v>
      </c>
    </row>
    <row r="58" spans="2:26" ht="15" customHeight="1" x14ac:dyDescent="0.3">
      <c r="B58" s="138" t="s">
        <v>120</v>
      </c>
      <c r="C58" s="139"/>
      <c r="D58" s="139"/>
      <c r="E58" s="140"/>
      <c r="F58" s="41">
        <f>M100</f>
        <v>4.7702510362892072</v>
      </c>
      <c r="G58" s="41">
        <f>IF(H10&gt;1,M121,0)</f>
        <v>2.6890900881073097</v>
      </c>
      <c r="J58" s="153" t="s">
        <v>121</v>
      </c>
      <c r="K58" s="153"/>
      <c r="L58" s="153"/>
      <c r="M58" s="55">
        <f>F58+G58</f>
        <v>7.4593411243965164</v>
      </c>
      <c r="N58" s="3"/>
      <c r="O58" s="3">
        <f>O57*12</f>
        <v>13411.414499999999</v>
      </c>
      <c r="P58" s="3"/>
      <c r="Q58" s="3"/>
      <c r="R58" s="3"/>
      <c r="S58" s="3"/>
      <c r="T58" t="s">
        <v>103</v>
      </c>
      <c r="U58" s="30">
        <v>0.15299240099749306</v>
      </c>
      <c r="V58" s="30">
        <v>0.16984605045288526</v>
      </c>
      <c r="W58" s="30">
        <v>0.19862498403696757</v>
      </c>
      <c r="X58" s="30">
        <v>0.15528720077088912</v>
      </c>
      <c r="Y58" s="30">
        <v>0.17318764075960427</v>
      </c>
      <c r="Z58" s="30">
        <v>0.19928483382443626</v>
      </c>
    </row>
    <row r="59" spans="2:26" ht="15" customHeight="1" x14ac:dyDescent="0.3">
      <c r="B59" s="138" t="s">
        <v>122</v>
      </c>
      <c r="C59" s="139"/>
      <c r="D59" s="139"/>
      <c r="E59" s="140"/>
      <c r="F59" s="55">
        <f>(F58*1000)/G10</f>
        <v>0.68146443375560106</v>
      </c>
      <c r="G59" s="55">
        <f>IF(H10&gt;1,(G58*1000)/H10,0)</f>
        <v>0.38415572687247285</v>
      </c>
      <c r="J59" s="153" t="s">
        <v>123</v>
      </c>
      <c r="K59" s="153"/>
      <c r="L59" s="153"/>
      <c r="M59" s="66">
        <f>1-(M57/M58)</f>
        <v>0.17979471348073661</v>
      </c>
    </row>
    <row r="63" spans="2:26" x14ac:dyDescent="0.3">
      <c r="M63">
        <f>M57/0.7457</f>
        <v>8.2046278988608936</v>
      </c>
    </row>
    <row r="64" spans="2:26" x14ac:dyDescent="0.3">
      <c r="M64">
        <f>M63*0.879</f>
        <v>7.2118679230987253</v>
      </c>
      <c r="U64" s="48"/>
    </row>
    <row r="65" spans="5:26" x14ac:dyDescent="0.3">
      <c r="U65" s="30"/>
      <c r="V65" s="30"/>
      <c r="W65" s="30"/>
      <c r="X65" s="30"/>
      <c r="Y65" s="30"/>
      <c r="Z65" s="30"/>
    </row>
    <row r="66" spans="5:26" ht="14.4" customHeight="1" x14ac:dyDescent="0.3">
      <c r="U66" s="30"/>
      <c r="V66" s="30"/>
      <c r="W66" s="30"/>
      <c r="X66" s="30"/>
      <c r="Y66" s="30"/>
      <c r="Z66" s="30"/>
    </row>
    <row r="67" spans="5:26" x14ac:dyDescent="0.3">
      <c r="U67" s="30"/>
      <c r="V67" s="30"/>
      <c r="W67" s="30"/>
      <c r="X67" s="30"/>
      <c r="Y67" s="30"/>
      <c r="Z67" s="30"/>
    </row>
    <row r="68" spans="5:26" x14ac:dyDescent="0.3">
      <c r="U68" s="30"/>
      <c r="V68" s="30"/>
      <c r="W68" s="30"/>
      <c r="X68" s="30"/>
      <c r="Y68" s="30"/>
      <c r="Z68" s="30"/>
    </row>
    <row r="69" spans="5:26" x14ac:dyDescent="0.3">
      <c r="U69" s="30"/>
      <c r="V69" s="30"/>
      <c r="W69" s="30"/>
      <c r="X69" s="30"/>
      <c r="Y69" s="30"/>
      <c r="Z69" s="30"/>
    </row>
    <row r="70" spans="5:26" x14ac:dyDescent="0.3">
      <c r="U70" s="30"/>
      <c r="V70" s="30"/>
      <c r="W70" s="30"/>
      <c r="X70" s="30"/>
      <c r="Y70" s="30"/>
      <c r="Z70" s="30"/>
    </row>
    <row r="71" spans="5:26" x14ac:dyDescent="0.3">
      <c r="U71" s="30"/>
      <c r="V71" s="30"/>
      <c r="W71" s="30"/>
      <c r="X71" s="30"/>
      <c r="Y71" s="30"/>
      <c r="Z71" s="30"/>
    </row>
    <row r="74" spans="5:26" x14ac:dyDescent="0.3">
      <c r="E74" s="56"/>
    </row>
    <row r="75" spans="5:26" x14ac:dyDescent="0.3">
      <c r="E75" s="47"/>
    </row>
    <row r="76" spans="5:26" x14ac:dyDescent="0.3">
      <c r="E76" s="47"/>
    </row>
    <row r="77" spans="5:26" x14ac:dyDescent="0.3">
      <c r="E77" s="47"/>
    </row>
    <row r="78" spans="5:26" x14ac:dyDescent="0.3">
      <c r="E78" s="47"/>
    </row>
    <row r="79" spans="5:26" x14ac:dyDescent="0.3">
      <c r="E79" s="47"/>
    </row>
    <row r="80" spans="5:26" x14ac:dyDescent="0.3">
      <c r="E80" s="47"/>
    </row>
    <row r="81" spans="3:26" x14ac:dyDescent="0.3">
      <c r="C81" s="46" t="s">
        <v>124</v>
      </c>
      <c r="E81" s="47"/>
      <c r="Q81" s="46" t="s">
        <v>125</v>
      </c>
    </row>
    <row r="82" spans="3:26" ht="43.8" x14ac:dyDescent="0.35">
      <c r="E82" s="4" t="s">
        <v>126</v>
      </c>
      <c r="F82" s="4"/>
      <c r="G82" s="4"/>
      <c r="H82" s="4"/>
      <c r="I82" s="4"/>
      <c r="J82" s="4"/>
      <c r="K82" s="4"/>
      <c r="L82" s="4"/>
      <c r="N82" s="5" t="s">
        <v>127</v>
      </c>
      <c r="O82" s="5" t="s">
        <v>128</v>
      </c>
      <c r="P82" s="5" t="s">
        <v>129</v>
      </c>
      <c r="Q82" s="5" t="s">
        <v>130</v>
      </c>
      <c r="R82" s="5" t="s">
        <v>131</v>
      </c>
      <c r="S82" s="5" t="s">
        <v>132</v>
      </c>
      <c r="T82" s="5" t="s">
        <v>133</v>
      </c>
      <c r="U82" s="5" t="s">
        <v>134</v>
      </c>
      <c r="V82" s="5" t="s">
        <v>135</v>
      </c>
      <c r="W82" s="5" t="s">
        <v>136</v>
      </c>
      <c r="X82" s="5" t="s">
        <v>137</v>
      </c>
      <c r="Z82" s="5" t="s">
        <v>138</v>
      </c>
    </row>
    <row r="83" spans="3:26" x14ac:dyDescent="0.3">
      <c r="E83" s="148" t="s">
        <v>113</v>
      </c>
      <c r="F83" s="149"/>
      <c r="G83" s="149"/>
      <c r="H83" s="150"/>
      <c r="I83" s="147" t="s">
        <v>139</v>
      </c>
      <c r="J83" s="147"/>
      <c r="K83" s="147"/>
      <c r="L83" s="147"/>
      <c r="N83">
        <v>460</v>
      </c>
      <c r="O83" t="s">
        <v>113</v>
      </c>
      <c r="P83" t="s">
        <v>140</v>
      </c>
      <c r="Q83">
        <v>2</v>
      </c>
      <c r="R83">
        <v>0</v>
      </c>
      <c r="S83">
        <v>1</v>
      </c>
      <c r="T83">
        <v>2</v>
      </c>
      <c r="U83" t="s">
        <v>141</v>
      </c>
      <c r="V83" t="s">
        <v>142</v>
      </c>
      <c r="W83" t="s">
        <v>21</v>
      </c>
      <c r="X83" t="s">
        <v>38</v>
      </c>
      <c r="Z83" t="s">
        <v>43</v>
      </c>
    </row>
    <row r="84" spans="3:26" x14ac:dyDescent="0.3">
      <c r="C84" s="6"/>
      <c r="D84" s="33" t="s">
        <v>143</v>
      </c>
      <c r="E84" s="108" t="s">
        <v>144</v>
      </c>
      <c r="F84" s="108" t="s">
        <v>145</v>
      </c>
      <c r="G84" s="108" t="s">
        <v>146</v>
      </c>
      <c r="H84" s="108" t="s">
        <v>147</v>
      </c>
      <c r="I84" s="108" t="s">
        <v>144</v>
      </c>
      <c r="J84" s="108" t="s">
        <v>145</v>
      </c>
      <c r="K84" s="108" t="s">
        <v>146</v>
      </c>
      <c r="L84" s="108" t="s">
        <v>148</v>
      </c>
      <c r="N84">
        <v>230</v>
      </c>
      <c r="O84" s="8" t="s">
        <v>139</v>
      </c>
      <c r="P84" s="8" t="s">
        <v>40</v>
      </c>
      <c r="Q84">
        <v>4</v>
      </c>
      <c r="R84">
        <v>1</v>
      </c>
      <c r="S84">
        <v>1.5</v>
      </c>
      <c r="T84">
        <v>4</v>
      </c>
      <c r="U84" t="s">
        <v>149</v>
      </c>
      <c r="V84" t="s">
        <v>150</v>
      </c>
      <c r="W84" t="s">
        <v>22</v>
      </c>
      <c r="X84" t="s">
        <v>45</v>
      </c>
      <c r="Z84" t="s">
        <v>151</v>
      </c>
    </row>
    <row r="85" spans="3:26" x14ac:dyDescent="0.3">
      <c r="C85" s="6"/>
      <c r="D85" s="7"/>
      <c r="E85" s="9">
        <f>VLOOKUP($D$87,constantsHP!$A$4:$I$28,2)/100</f>
        <v>0.89500000000000002</v>
      </c>
      <c r="F85" s="9">
        <f>VLOOKUP($D$87,constantsHP!$A$4:$I$28,3)/100</f>
        <v>0.91700000000000004</v>
      </c>
      <c r="G85" s="9">
        <f>VLOOKUP($D$87,constantsHP!$A$4:$I$28,4)/100</f>
        <v>0.91700000000000004</v>
      </c>
      <c r="H85" s="9">
        <f>VLOOKUP($D$87,constantsHP!$A$4:$I$28,5)/100</f>
        <v>0.90200000000000002</v>
      </c>
      <c r="I85" s="9">
        <f>VLOOKUP($D$87,constantsHP!$A$4:$I$28,6)/100</f>
        <v>0.90200000000000002</v>
      </c>
      <c r="J85" s="9">
        <f>VLOOKUP($D$87,constantsHP!$A$4:$I$28,7)/100</f>
        <v>0.91700000000000004</v>
      </c>
      <c r="K85" s="9">
        <f>VLOOKUP($D$87,constantsHP!$A$4:$I$28,8)/100</f>
        <v>0.91</v>
      </c>
      <c r="L85" s="9">
        <f>VLOOKUP($D$87,constantsHP!$A$4:$I$28,9)/100</f>
        <v>0.875</v>
      </c>
      <c r="N85">
        <v>575</v>
      </c>
      <c r="P85" t="s">
        <v>152</v>
      </c>
      <c r="Q85">
        <v>6</v>
      </c>
      <c r="R85">
        <v>2</v>
      </c>
      <c r="S85">
        <v>2</v>
      </c>
      <c r="T85">
        <v>6</v>
      </c>
      <c r="W85" t="s">
        <v>20</v>
      </c>
      <c r="X85" t="s">
        <v>200</v>
      </c>
      <c r="Z85" t="s">
        <v>153</v>
      </c>
    </row>
    <row r="86" spans="3:26" x14ac:dyDescent="0.3">
      <c r="C86" s="33" t="s">
        <v>154</v>
      </c>
      <c r="D86" s="7">
        <v>1</v>
      </c>
      <c r="N86">
        <v>208</v>
      </c>
      <c r="P86" t="s">
        <v>155</v>
      </c>
      <c r="Q86">
        <v>8</v>
      </c>
      <c r="R86">
        <v>3</v>
      </c>
      <c r="S86">
        <v>3</v>
      </c>
      <c r="T86">
        <v>8</v>
      </c>
      <c r="Z86" t="s">
        <v>156</v>
      </c>
    </row>
    <row r="87" spans="3:26" x14ac:dyDescent="0.3">
      <c r="C87" s="33" t="s">
        <v>157</v>
      </c>
      <c r="D87" s="31">
        <f>F53</f>
        <v>10</v>
      </c>
      <c r="E87" s="151" t="s">
        <v>158</v>
      </c>
      <c r="F87" s="148" t="s">
        <v>159</v>
      </c>
      <c r="G87" s="150"/>
      <c r="H87" s="108" t="s">
        <v>160</v>
      </c>
      <c r="I87" s="108"/>
      <c r="J87" s="147" t="s">
        <v>161</v>
      </c>
      <c r="K87" s="147"/>
      <c r="R87">
        <v>4</v>
      </c>
      <c r="S87">
        <v>5</v>
      </c>
    </row>
    <row r="88" spans="3:26" x14ac:dyDescent="0.3">
      <c r="C88" s="33" t="s">
        <v>162</v>
      </c>
      <c r="D88" s="31">
        <f>F54</f>
        <v>5.2682854030501094</v>
      </c>
      <c r="E88" s="152"/>
      <c r="F88" s="114" t="s">
        <v>163</v>
      </c>
      <c r="G88" s="114" t="s">
        <v>164</v>
      </c>
      <c r="H88" s="114" t="s">
        <v>163</v>
      </c>
      <c r="I88" s="114" t="s">
        <v>164</v>
      </c>
      <c r="J88" s="114" t="s">
        <v>163</v>
      </c>
      <c r="K88" s="114" t="s">
        <v>164</v>
      </c>
      <c r="R88">
        <v>5</v>
      </c>
      <c r="S88">
        <v>7.5</v>
      </c>
    </row>
    <row r="89" spans="3:26" x14ac:dyDescent="0.3">
      <c r="C89" s="33" t="s">
        <v>165</v>
      </c>
      <c r="D89" s="35" t="str">
        <f>F55</f>
        <v>TEFC</v>
      </c>
      <c r="E89" s="10" t="s">
        <v>166</v>
      </c>
      <c r="F89" s="9">
        <f>VLOOKUP($D$87,constantsHP!$K$4:$Q$28,2)</f>
        <v>1.03338</v>
      </c>
      <c r="G89" s="9">
        <f>VLOOKUP($D$87,constantsHP!$K$4:$Q$28,3)</f>
        <v>8.0800000000000004E-3</v>
      </c>
      <c r="H89" s="9">
        <f>VLOOKUP($D$87,constantsHP!$K$4:$Q$28,4)</f>
        <v>1.0386599999999999</v>
      </c>
      <c r="I89" s="9">
        <f>VLOOKUP($D$87,constantsHP!$K$4:$Q$28,5)</f>
        <v>1.2959999999999999E-2</v>
      </c>
      <c r="J89" s="9">
        <f>VLOOKUP($D$87,constantsHP!$K$4:$Q$28,6)</f>
        <v>1.0402499999999999</v>
      </c>
      <c r="K89" s="9">
        <f>VLOOKUP($D$87,constantsHP!$K$4:$Q$28,7)</f>
        <v>1.5720000000000001E-2</v>
      </c>
      <c r="R89">
        <v>6</v>
      </c>
      <c r="S89">
        <v>10</v>
      </c>
    </row>
    <row r="90" spans="3:26" x14ac:dyDescent="0.3">
      <c r="C90" s="33"/>
      <c r="D90" s="7"/>
      <c r="E90" s="10" t="s">
        <v>167</v>
      </c>
      <c r="F90" s="9">
        <f>VLOOKUP($D$87,constantsHP!$Z$4:$AF$28,2)</f>
        <v>1.0852599999999999</v>
      </c>
      <c r="G90" s="9">
        <f>VLOOKUP($D$87,constantsHP!$Z$4:$AF$28,3)</f>
        <v>3.7830000000000003E-2</v>
      </c>
      <c r="H90" s="9">
        <f>VLOOKUP($D$87,constantsHP!$Z$4:$AF$28,4)</f>
        <v>1.0793600000000001</v>
      </c>
      <c r="I90" s="9">
        <f>VLOOKUP($D$87,constantsHP!$Z$4:$AF$28,5)</f>
        <v>3.4810000000000001E-2</v>
      </c>
      <c r="J90" s="9">
        <f>VLOOKUP($D$87,constantsHP!$Z$4:$AF$28,6)</f>
        <v>1.08107</v>
      </c>
      <c r="K90" s="9">
        <f>VLOOKUP($D$87,constantsHP!$Z$4:$AF$28,7)</f>
        <v>3.8460000000000001E-2</v>
      </c>
      <c r="R90">
        <v>7</v>
      </c>
      <c r="S90">
        <v>15</v>
      </c>
    </row>
    <row r="91" spans="3:26" x14ac:dyDescent="0.3">
      <c r="C91" s="33" t="s">
        <v>168</v>
      </c>
      <c r="D91" s="31">
        <f>F56</f>
        <v>4</v>
      </c>
      <c r="E91" s="6"/>
      <c r="R91">
        <v>8</v>
      </c>
      <c r="S91">
        <v>20</v>
      </c>
    </row>
    <row r="92" spans="3:26" x14ac:dyDescent="0.3">
      <c r="C92" s="33" t="s">
        <v>169</v>
      </c>
      <c r="D92" s="7" t="str">
        <f>G9</f>
        <v>V-Belt</v>
      </c>
      <c r="E92" s="6"/>
      <c r="F92" s="6" t="s">
        <v>170</v>
      </c>
      <c r="G92" s="6"/>
      <c r="H92" s="6"/>
      <c r="I92" s="6"/>
      <c r="R92">
        <v>9</v>
      </c>
      <c r="S92">
        <v>25</v>
      </c>
    </row>
    <row r="93" spans="3:26" x14ac:dyDescent="0.3">
      <c r="C93" s="33" t="s">
        <v>171</v>
      </c>
      <c r="D93" s="7">
        <f>IF(G8="no",0,1)</f>
        <v>1</v>
      </c>
      <c r="E93" s="10"/>
      <c r="F93" s="108" t="s">
        <v>141</v>
      </c>
      <c r="G93" s="108" t="s">
        <v>172</v>
      </c>
      <c r="H93" s="108" t="s">
        <v>173</v>
      </c>
      <c r="I93" s="108" t="s">
        <v>174</v>
      </c>
      <c r="R93">
        <v>10</v>
      </c>
      <c r="S93">
        <v>30</v>
      </c>
    </row>
    <row r="94" spans="3:26" x14ac:dyDescent="0.3">
      <c r="C94" s="33" t="s">
        <v>175</v>
      </c>
      <c r="D94" s="31">
        <f>D87</f>
        <v>10</v>
      </c>
      <c r="E94" s="10" t="s">
        <v>176</v>
      </c>
      <c r="F94" s="9">
        <f>VLOOKUP($D$94,constantsHP!$S$4:$X$28,3)</f>
        <v>10</v>
      </c>
      <c r="G94" s="9">
        <f>VLOOKUP($D$94,constantsHP!$S$4:$X$28,4)</f>
        <v>0.97870000000000001</v>
      </c>
      <c r="H94" s="9">
        <f>VLOOKUP($D$94,constantsHP!$S$4:$X$28,5)</f>
        <v>2.2200000000000001E-2</v>
      </c>
      <c r="I94" s="9">
        <f>VLOOKUP($D$94,constantsHP!$S$4:$X$28,6)</f>
        <v>1.9E-3</v>
      </c>
      <c r="R94">
        <v>11</v>
      </c>
      <c r="S94">
        <v>40</v>
      </c>
    </row>
    <row r="95" spans="3:26" x14ac:dyDescent="0.3">
      <c r="C95" s="6"/>
      <c r="D95" s="7"/>
      <c r="E95" s="10" t="s">
        <v>177</v>
      </c>
      <c r="F95" s="9">
        <f>VLOOKUP($D$94,constantsHP!$T$4:$X$28,2)</f>
        <v>15</v>
      </c>
      <c r="G95" s="9">
        <f>VLOOKUP($D$94,constantsHP!$T$4:$X$28,3)</f>
        <v>0.98185</v>
      </c>
      <c r="H95" s="9">
        <f>VLOOKUP($D$94,constantsHP!$T$4:$X$28,4)</f>
        <v>1.985E-2</v>
      </c>
      <c r="I95" s="9">
        <f>VLOOKUP($D$94,constantsHP!$T$4:$X$28,5)</f>
        <v>6.9999999999999999E-4</v>
      </c>
      <c r="R95">
        <v>12</v>
      </c>
      <c r="S95">
        <v>50</v>
      </c>
    </row>
    <row r="96" spans="3:26" x14ac:dyDescent="0.3">
      <c r="C96" s="11"/>
      <c r="D96" s="7"/>
      <c r="E96" s="10" t="s">
        <v>178</v>
      </c>
      <c r="F96" s="9">
        <f>(D94-F94)/(F95-F94)</f>
        <v>0</v>
      </c>
      <c r="G96" s="9">
        <f>ROUND($F96*(G95-G94)+G94,5)</f>
        <v>0.97870000000000001</v>
      </c>
      <c r="H96" s="9">
        <f>ROUND($F96*(H95-H94)+H94,5)</f>
        <v>2.2200000000000001E-2</v>
      </c>
      <c r="I96" s="9">
        <f>ROUND($F96*(I95-I94)+I94,5)</f>
        <v>1.9E-3</v>
      </c>
      <c r="R96">
        <v>13</v>
      </c>
      <c r="S96">
        <v>60</v>
      </c>
    </row>
    <row r="97" spans="1:19" x14ac:dyDescent="0.3">
      <c r="R97">
        <v>14</v>
      </c>
      <c r="S97">
        <v>75</v>
      </c>
    </row>
    <row r="98" spans="1:19" x14ac:dyDescent="0.3">
      <c r="R98">
        <v>15</v>
      </c>
      <c r="S98">
        <v>100</v>
      </c>
    </row>
    <row r="99" spans="1:19" ht="73.2" x14ac:dyDescent="0.35">
      <c r="A99" s="12" t="s">
        <v>179</v>
      </c>
      <c r="B99" s="12" t="s">
        <v>180</v>
      </c>
      <c r="C99" s="13" t="s">
        <v>181</v>
      </c>
      <c r="D99" s="14" t="s">
        <v>126</v>
      </c>
      <c r="E99" s="7" t="s">
        <v>182</v>
      </c>
      <c r="F99" s="7" t="s">
        <v>163</v>
      </c>
      <c r="G99" s="7" t="s">
        <v>164</v>
      </c>
      <c r="H99" s="7" t="s">
        <v>183</v>
      </c>
      <c r="I99" s="12" t="s">
        <v>184</v>
      </c>
      <c r="J99" s="14" t="s">
        <v>185</v>
      </c>
      <c r="K99" s="12" t="s">
        <v>186</v>
      </c>
      <c r="L99" s="12" t="s">
        <v>187</v>
      </c>
      <c r="M99" s="12" t="s">
        <v>188</v>
      </c>
      <c r="N99" s="12" t="s">
        <v>189</v>
      </c>
      <c r="O99" s="15"/>
      <c r="P99" s="16"/>
      <c r="R99">
        <v>16</v>
      </c>
      <c r="S99">
        <v>125</v>
      </c>
    </row>
    <row r="100" spans="1:19" x14ac:dyDescent="0.3">
      <c r="A100" s="2">
        <f>D88</f>
        <v>5.2682854030501094</v>
      </c>
      <c r="B100" s="23">
        <f>IF($D$92="Direct",1,IF($D$92="V-Belt",0.96*(A100/(A100+2.2))^0.05,IF($D$92="Coupling",0.98,IF(AND($D$92="Synchronous Belt",A100&lt;=1.34),0.94,IF(AND($D$92="Synchronous Belt",A100&gt;1.34,A100&lt;=6.7),0.00746*A100+0.93,0.98)))))</f>
        <v>0.94339517874950984</v>
      </c>
      <c r="C100" s="23">
        <f>A100/B100</f>
        <v>5.5843887288393104</v>
      </c>
      <c r="D100" s="23">
        <f>IF(AND($D$89="ODP",$D$91=2),$E$85,IF(AND($D$89="ODP",$D$91=4),$F$85,IF(AND($D$89="ODP",$D$91=6),$G$85,IF(AND($D$89="ODP",$D$91=8),$H$85,IF(AND($D$89="TEFC",$D$91=2),$I$85,IF(AND($D$89="TEFC",$D$91=4),$J$85,IF(AND($D$89="TEFC",$D$91=6),$K$85,IF(AND($D$89="TEFC",$D$91=8),$L$85))))))))</f>
        <v>0.91700000000000004</v>
      </c>
      <c r="E100" s="23">
        <f>C100/$D$87</f>
        <v>0.55843887288393101</v>
      </c>
      <c r="F100" s="23">
        <f>IF(AND($D$93&gt;0,$D$91=2),F$89,IF(AND($D$93=0,$D$91=2),F$90,IF(AND($D$93&gt;0,$D$91=4),H$89,IF(AND($D$93=0,$D$91=4),H$90,IF(AND($D$93&gt;0,OR($D$91=6,$D$91=8)),J$89,IF(AND($D$93=0,OR($D$91=6,$D$91=8)),J$90))))))</f>
        <v>1.0386599999999999</v>
      </c>
      <c r="G100" s="23">
        <f>IF(AND($D$93&gt;0,$D$91=2),G$89,IF(AND($D$93=0,$D$91=2),G$90,IF(AND($D$93&gt;0,$D$91=4),I$89,IF(AND($D$93=0,$D$91=4),I$90,IF(AND($D$93&gt;0,OR($D$91=6,$D$91=8)),K$89,IF(AND($D$93=0,OR($D$91=6,$D$91=8)),K$90))))))</f>
        <v>1.2959999999999999E-2</v>
      </c>
      <c r="H100" s="23">
        <f t="shared" ref="H100" si="4">1-(F100/(1+G100))</f>
        <v>-2.5371189385563042E-2</v>
      </c>
      <c r="I100" s="17">
        <f>D100*(((F100*E100)/(G100+E100))+H100*(E100^2))</f>
        <v>0.92359310214934442</v>
      </c>
      <c r="J100" s="18">
        <f>IF($D$93=0,0,($D$86/$D$93)*C100/(I100*$D$94))</f>
        <v>0.60463733605670844</v>
      </c>
      <c r="K100" s="19">
        <f>($G$96*J100/($H$96+J100))+(J100*$I$96)</f>
        <v>0.94518728273937325</v>
      </c>
      <c r="L100" s="20">
        <f>I100*K100</f>
        <v>0.87296845457736727</v>
      </c>
      <c r="M100" s="21">
        <f>IF(J100=0,C100*0.7457/I100,C100*0.7457/L100)</f>
        <v>4.7702510362892072</v>
      </c>
      <c r="N100" s="20">
        <f>IF(J100=0,B100*I100,B100*L100)</f>
        <v>0.82355423124869875</v>
      </c>
      <c r="R100">
        <v>17</v>
      </c>
      <c r="S100">
        <v>150</v>
      </c>
    </row>
    <row r="101" spans="1:19" x14ac:dyDescent="0.3">
      <c r="A101" s="2"/>
      <c r="B101" s="23"/>
      <c r="C101" s="23"/>
      <c r="D101" s="23"/>
      <c r="E101" s="23"/>
      <c r="F101" s="23"/>
      <c r="G101" s="23"/>
      <c r="H101" s="23"/>
      <c r="I101" s="17"/>
      <c r="J101" s="18"/>
      <c r="K101" s="19"/>
      <c r="L101" s="20"/>
      <c r="M101" s="21"/>
      <c r="N101" s="20"/>
      <c r="R101">
        <v>18</v>
      </c>
      <c r="S101">
        <v>200</v>
      </c>
    </row>
    <row r="102" spans="1:19" x14ac:dyDescent="0.3">
      <c r="A102" s="2"/>
      <c r="B102" s="23"/>
      <c r="C102" s="23"/>
      <c r="D102" s="23"/>
      <c r="E102" s="23"/>
      <c r="F102" s="23"/>
      <c r="G102" s="23"/>
      <c r="H102" s="23"/>
      <c r="I102" s="17"/>
      <c r="J102" s="18"/>
      <c r="K102" s="19"/>
      <c r="L102" s="20"/>
      <c r="M102" s="21"/>
      <c r="N102" s="20"/>
      <c r="R102">
        <v>19</v>
      </c>
      <c r="S102">
        <v>250</v>
      </c>
    </row>
    <row r="103" spans="1:19" ht="15.6" x14ac:dyDescent="0.35">
      <c r="E103" s="4" t="s">
        <v>126</v>
      </c>
      <c r="F103" s="4"/>
      <c r="G103" s="4"/>
      <c r="H103" s="4"/>
      <c r="I103" s="4"/>
      <c r="J103" s="4"/>
      <c r="K103" s="4"/>
      <c r="L103" s="4"/>
      <c r="M103" s="21"/>
      <c r="N103" s="20"/>
      <c r="R103">
        <v>20</v>
      </c>
      <c r="S103">
        <v>300</v>
      </c>
    </row>
    <row r="104" spans="1:19" x14ac:dyDescent="0.3">
      <c r="E104" s="148" t="s">
        <v>113</v>
      </c>
      <c r="F104" s="149"/>
      <c r="G104" s="149"/>
      <c r="H104" s="150"/>
      <c r="I104" s="147" t="s">
        <v>139</v>
      </c>
      <c r="J104" s="147"/>
      <c r="K104" s="147"/>
      <c r="L104" s="147"/>
      <c r="M104" s="21"/>
      <c r="N104" s="20"/>
      <c r="O104" s="19"/>
      <c r="P104" s="22"/>
      <c r="R104">
        <v>21</v>
      </c>
      <c r="S104">
        <v>350</v>
      </c>
    </row>
    <row r="105" spans="1:19" x14ac:dyDescent="0.3">
      <c r="C105" s="6"/>
      <c r="D105" s="33" t="s">
        <v>201</v>
      </c>
      <c r="E105" s="108" t="s">
        <v>144</v>
      </c>
      <c r="F105" s="108" t="s">
        <v>145</v>
      </c>
      <c r="G105" s="108" t="s">
        <v>146</v>
      </c>
      <c r="H105" s="108" t="s">
        <v>147</v>
      </c>
      <c r="I105" s="108" t="s">
        <v>144</v>
      </c>
      <c r="J105" s="108" t="s">
        <v>145</v>
      </c>
      <c r="K105" s="108" t="s">
        <v>146</v>
      </c>
      <c r="L105" s="108" t="s">
        <v>148</v>
      </c>
      <c r="M105" s="21"/>
      <c r="N105" s="20"/>
      <c r="R105">
        <v>22</v>
      </c>
      <c r="S105">
        <v>400</v>
      </c>
    </row>
    <row r="106" spans="1:19" x14ac:dyDescent="0.3">
      <c r="C106" s="6"/>
      <c r="D106" s="7"/>
      <c r="E106" s="9">
        <f>VLOOKUP($D$108,constantsHP!$A$4:$I$28,2)/100</f>
        <v>0.86499999999999999</v>
      </c>
      <c r="F106" s="9">
        <f>VLOOKUP($D$108,constantsHP!$A$4:$I$28,3)/100</f>
        <v>0.89500000000000002</v>
      </c>
      <c r="G106" s="9">
        <f>VLOOKUP($D$108,constantsHP!$A$4:$I$28,4)/100</f>
        <v>0.89500000000000002</v>
      </c>
      <c r="H106" s="9">
        <f>VLOOKUP($D$108,constantsHP!$A$4:$I$28,5)/100</f>
        <v>0.88500000000000001</v>
      </c>
      <c r="I106" s="9">
        <f>VLOOKUP($D$108,constantsHP!$A$4:$I$28,6)/100</f>
        <v>0.88500000000000001</v>
      </c>
      <c r="J106" s="9">
        <f>VLOOKUP($D$108,constantsHP!$A$4:$I$28,7)/100</f>
        <v>0.89500000000000002</v>
      </c>
      <c r="K106" s="9">
        <f>VLOOKUP($D$108,constantsHP!$A$4:$I$28,8)/100</f>
        <v>0.89500000000000002</v>
      </c>
      <c r="L106" s="9">
        <f>VLOOKUP($D$108,constantsHP!$A$4:$I$28,9)/100</f>
        <v>0.84</v>
      </c>
      <c r="M106" s="21"/>
      <c r="N106" s="20"/>
      <c r="R106">
        <v>23</v>
      </c>
      <c r="S106">
        <v>450</v>
      </c>
    </row>
    <row r="107" spans="1:19" x14ac:dyDescent="0.3">
      <c r="C107" s="33" t="s">
        <v>154</v>
      </c>
      <c r="D107" s="7">
        <v>1</v>
      </c>
      <c r="M107" s="21"/>
      <c r="N107" s="20"/>
      <c r="R107">
        <v>24</v>
      </c>
      <c r="S107">
        <v>500</v>
      </c>
    </row>
    <row r="108" spans="1:19" x14ac:dyDescent="0.3">
      <c r="C108" s="33" t="s">
        <v>157</v>
      </c>
      <c r="D108" s="31">
        <f>G53</f>
        <v>5</v>
      </c>
      <c r="E108" s="151" t="s">
        <v>158</v>
      </c>
      <c r="F108" s="148" t="s">
        <v>159</v>
      </c>
      <c r="G108" s="150"/>
      <c r="H108" s="108" t="s">
        <v>160</v>
      </c>
      <c r="I108" s="108"/>
      <c r="J108" s="147" t="s">
        <v>161</v>
      </c>
      <c r="K108" s="147"/>
      <c r="M108" s="21"/>
      <c r="N108" s="20"/>
      <c r="R108">
        <v>25</v>
      </c>
    </row>
    <row r="109" spans="1:19" x14ac:dyDescent="0.3">
      <c r="C109" s="33" t="s">
        <v>162</v>
      </c>
      <c r="D109" s="31">
        <f>G54</f>
        <v>2.836769063180828</v>
      </c>
      <c r="E109" s="152"/>
      <c r="F109" s="114" t="s">
        <v>163</v>
      </c>
      <c r="G109" s="114" t="s">
        <v>164</v>
      </c>
      <c r="H109" s="114" t="s">
        <v>163</v>
      </c>
      <c r="I109" s="114" t="s">
        <v>164</v>
      </c>
      <c r="J109" s="114" t="s">
        <v>163</v>
      </c>
      <c r="K109" s="114" t="s">
        <v>164</v>
      </c>
      <c r="M109" s="21"/>
      <c r="N109" s="20"/>
      <c r="R109">
        <v>26</v>
      </c>
    </row>
    <row r="110" spans="1:19" x14ac:dyDescent="0.3">
      <c r="C110" s="33" t="s">
        <v>165</v>
      </c>
      <c r="D110" s="35" t="str">
        <f>G55</f>
        <v>TEFC</v>
      </c>
      <c r="E110" s="10" t="s">
        <v>166</v>
      </c>
      <c r="F110" s="9">
        <f>VLOOKUP($D$108,constantsHP!$K$4:$Q$28,2)</f>
        <v>1.0364100000000001</v>
      </c>
      <c r="G110" s="9">
        <f>VLOOKUP($D$108,constantsHP!$K$4:$Q$28,3)</f>
        <v>9.75E-3</v>
      </c>
      <c r="H110" s="9">
        <f>VLOOKUP($D$108,constantsHP!$K$4:$Q$28,4)</f>
        <v>1.04288</v>
      </c>
      <c r="I110" s="9">
        <f>VLOOKUP($D$108,constantsHP!$K$4:$Q$28,5)</f>
        <v>1.5959999999999998E-2</v>
      </c>
      <c r="J110" s="9">
        <f>VLOOKUP($D$108,constantsHP!$K$4:$Q$28,6)</f>
        <v>1.04461</v>
      </c>
      <c r="K110" s="9">
        <f>VLOOKUP($D$108,constantsHP!$K$4:$Q$28,7)</f>
        <v>2.0240000000000001E-2</v>
      </c>
      <c r="M110" s="23"/>
      <c r="R110">
        <v>37</v>
      </c>
    </row>
    <row r="111" spans="1:19" x14ac:dyDescent="0.3">
      <c r="C111" s="33"/>
      <c r="D111" s="7"/>
      <c r="E111" s="10" t="s">
        <v>167</v>
      </c>
      <c r="F111" s="9">
        <f>VLOOKUP($D$108,constantsHP!$Z$4:$AF$28,2)</f>
        <v>1.0924100000000001</v>
      </c>
      <c r="G111" s="9">
        <f>VLOOKUP($D$108,constantsHP!$Z$4:$AF$28,3)</f>
        <v>4.197E-2</v>
      </c>
      <c r="H111" s="9">
        <f>VLOOKUP($D$108,constantsHP!$Z$4:$AF$28,4)</f>
        <v>1.08745</v>
      </c>
      <c r="I111" s="9">
        <f>VLOOKUP($D$108,constantsHP!$Z$4:$AF$28,5)</f>
        <v>4.0090000000000001E-2</v>
      </c>
      <c r="J111" s="9">
        <f>VLOOKUP($D$108,constantsHP!$Z$4:$AF$28,6)</f>
        <v>1.0905100000000001</v>
      </c>
      <c r="K111" s="9">
        <f>VLOOKUP($D$108,constantsHP!$Z$4:$AF$28,7)</f>
        <v>4.5879999999999997E-2</v>
      </c>
      <c r="M111" s="23"/>
      <c r="R111">
        <v>38</v>
      </c>
    </row>
    <row r="112" spans="1:19" x14ac:dyDescent="0.3">
      <c r="C112" s="33" t="s">
        <v>168</v>
      </c>
      <c r="D112" s="31">
        <f>G56</f>
        <v>4</v>
      </c>
      <c r="E112" s="6"/>
      <c r="M112" s="23"/>
      <c r="N112" s="5"/>
      <c r="R112">
        <v>39</v>
      </c>
    </row>
    <row r="113" spans="1:18" x14ac:dyDescent="0.3">
      <c r="C113" s="33" t="s">
        <v>169</v>
      </c>
      <c r="D113" s="7" t="str">
        <f>H9</f>
        <v>V-Belt</v>
      </c>
      <c r="E113" s="6"/>
      <c r="F113" s="6" t="s">
        <v>170</v>
      </c>
      <c r="G113" s="6"/>
      <c r="H113" s="6"/>
      <c r="I113" s="6"/>
      <c r="M113" s="23"/>
      <c r="R113">
        <v>40</v>
      </c>
    </row>
    <row r="114" spans="1:18" x14ac:dyDescent="0.3">
      <c r="C114" s="33" t="s">
        <v>171</v>
      </c>
      <c r="D114" s="7">
        <f>IF(H8="no",0,1)</f>
        <v>1</v>
      </c>
      <c r="E114" s="10"/>
      <c r="F114" s="108" t="s">
        <v>141</v>
      </c>
      <c r="G114" s="108" t="s">
        <v>172</v>
      </c>
      <c r="H114" s="108" t="s">
        <v>173</v>
      </c>
      <c r="I114" s="108" t="s">
        <v>174</v>
      </c>
      <c r="M114" s="23"/>
    </row>
    <row r="115" spans="1:18" x14ac:dyDescent="0.3">
      <c r="C115" s="33" t="s">
        <v>175</v>
      </c>
      <c r="D115" s="31">
        <f>D108</f>
        <v>5</v>
      </c>
      <c r="E115" s="10" t="s">
        <v>176</v>
      </c>
      <c r="F115" s="9">
        <f>VLOOKUP($D$115,constantsHP!$S$4:$X$28,3)</f>
        <v>5</v>
      </c>
      <c r="G115" s="9">
        <f>VLOOKUP($D$115,constantsHP!$S$4:$X$28,4)</f>
        <v>0.97750000000000004</v>
      </c>
      <c r="H115" s="9">
        <f>VLOOKUP($D$115,constantsHP!$S$4:$X$28,5)</f>
        <v>2.8400000000000002E-2</v>
      </c>
      <c r="I115" s="9">
        <f>VLOOKUP($D$115,constantsHP!$S$4:$X$28,6)</f>
        <v>-2.7000000000000001E-3</v>
      </c>
      <c r="M115" s="23"/>
    </row>
    <row r="116" spans="1:18" x14ac:dyDescent="0.3">
      <c r="C116" s="6"/>
      <c r="D116" s="7"/>
      <c r="E116" s="10" t="s">
        <v>177</v>
      </c>
      <c r="F116" s="9">
        <f>VLOOKUP($D$115,constantsHP!$T$4:$X$28,2)</f>
        <v>7.5</v>
      </c>
      <c r="G116" s="9">
        <f>VLOOKUP($D$115,constantsHP!$T$4:$X$28,3)</f>
        <v>0.97809999999999997</v>
      </c>
      <c r="H116" s="9">
        <f>VLOOKUP($D$115,constantsHP!$T$4:$X$28,4)</f>
        <v>2.53E-2</v>
      </c>
      <c r="I116" s="9">
        <f>VLOOKUP($D$115,constantsHP!$T$4:$X$28,5)</f>
        <v>-4.0000000000000002E-4</v>
      </c>
      <c r="M116" s="23"/>
    </row>
    <row r="117" spans="1:18" x14ac:dyDescent="0.3">
      <c r="C117" s="11"/>
      <c r="D117" s="7"/>
      <c r="E117" s="10" t="s">
        <v>178</v>
      </c>
      <c r="F117" s="9">
        <f>(D115-F115)/(F116-F115)</f>
        <v>0</v>
      </c>
      <c r="G117" s="9">
        <f>ROUND($F117*(G116-G115)+G115,5)</f>
        <v>0.97750000000000004</v>
      </c>
      <c r="H117" s="9">
        <f>ROUND($F117*(H116-H115)+H115,5)</f>
        <v>2.8400000000000002E-2</v>
      </c>
      <c r="I117" s="9">
        <f>ROUND($F117*(I116-I115)+I115,5)</f>
        <v>-2.7000000000000001E-3</v>
      </c>
      <c r="M117" s="23"/>
    </row>
    <row r="118" spans="1:18" x14ac:dyDescent="0.3">
      <c r="M118" s="23"/>
    </row>
    <row r="119" spans="1:18" x14ac:dyDescent="0.3">
      <c r="M119" s="23"/>
    </row>
    <row r="120" spans="1:18" ht="73.2" x14ac:dyDescent="0.35">
      <c r="A120" s="12" t="s">
        <v>179</v>
      </c>
      <c r="B120" s="12" t="s">
        <v>180</v>
      </c>
      <c r="C120" s="13" t="s">
        <v>181</v>
      </c>
      <c r="D120" s="14" t="s">
        <v>126</v>
      </c>
      <c r="E120" s="7" t="s">
        <v>182</v>
      </c>
      <c r="F120" s="7" t="s">
        <v>163</v>
      </c>
      <c r="G120" s="7" t="s">
        <v>164</v>
      </c>
      <c r="H120" s="7" t="s">
        <v>183</v>
      </c>
      <c r="I120" s="12" t="s">
        <v>184</v>
      </c>
      <c r="J120" s="14" t="s">
        <v>185</v>
      </c>
      <c r="K120" s="12" t="s">
        <v>186</v>
      </c>
      <c r="L120" s="12" t="s">
        <v>187</v>
      </c>
      <c r="M120" s="12" t="s">
        <v>188</v>
      </c>
      <c r="N120" s="12" t="s">
        <v>189</v>
      </c>
    </row>
    <row r="121" spans="1:18" x14ac:dyDescent="0.3">
      <c r="A121" s="2">
        <f>D109</f>
        <v>2.836769063180828</v>
      </c>
      <c r="B121" s="23">
        <f>IF($D$113="Direct",1,IF($D$113="V-Belt",0.96*(A121/(A121+2.2))^0.05,IF($D$113="Coupling",0.98,IF(AND($D$113="Synchronous Belt",A121&lt;=1.34),0.94,IF(AND($D$113="Synchronous Belt",A121&gt;1.34,A121&lt;=6.7),0.00746*A121+0.93,0.98)))))</f>
        <v>0.93283499513501356</v>
      </c>
      <c r="C121" s="23">
        <f>A121/B121</f>
        <v>3.0410191276864018</v>
      </c>
      <c r="D121" s="23">
        <f>IF(AND($D$110="ODP",$D$112=2),$E$106,IF(AND($D$110="ODP",$D$112=4),$F$106,IF(AND($D$110="ODP",$D$112=6),$G$106,IF(AND($D$110="ODP",$D$112=8),$H$106,IF(AND($D$110="TEFC",$D$112=2),$I$106,IF(AND($D$110="TEFC",$D$112=4),$J$106,IF(AND($D$110="TEFC",$D$112=6),$K$106,IF(AND($D$110="TEFC",$D$112=8),$L$106))))))))</f>
        <v>0.89500000000000002</v>
      </c>
      <c r="E121" s="23">
        <f>C121/$D$108</f>
        <v>0.60820382553728036</v>
      </c>
      <c r="F121" s="23">
        <f>IF(AND($D$114&gt;0,$D$112=2),F$110,IF(AND($D$114=0,$D$112=2),F$111,IF(AND($D$114&gt;0,$D$112=4),H$110,IF(AND($D$114=0,$D$112=4),H$111,IF(AND($D$114&gt;0,OR($D$112=6,$D$112=8)),J$110,IF(AND($D$114=0,OR($D$112=6,$D$112=8)),J$111))))))</f>
        <v>1.04288</v>
      </c>
      <c r="G121" s="23">
        <f>IF(AND($D$114&gt;0,$D$112=2),G$110,IF(AND($D$114=0,$D$112=2),G$111,IF(AND($D$114&gt;0,$D$112=4),I$110,IF(AND($D$114=0,$D$112=4),I$111,IF(AND($D$114&gt;0,OR($D$112=6,$D$112=8)),K$110,IF(AND($D$114=0,OR($D$112=6,$D$112=8)),K$111))))))</f>
        <v>1.5959999999999998E-2</v>
      </c>
      <c r="H121" s="23">
        <f>1-(F121/(1+G121))</f>
        <v>-2.6497106185283004E-2</v>
      </c>
      <c r="I121" s="17">
        <f>D121*(((F121*E121)/(G121+E121))+H121*(E121^2))</f>
        <v>0.90073851162524143</v>
      </c>
      <c r="J121" s="18">
        <f>IF($D$114=0,0,($D$107/$D$114)*C121/(I121*$D$115))</f>
        <v>0.6752279576010044</v>
      </c>
      <c r="K121" s="19">
        <f>($G$117*J121/($H$117+J121))+(J121*$I$117)</f>
        <v>0.93622279560270327</v>
      </c>
      <c r="L121" s="20">
        <f>I121*K121</f>
        <v>0.84329192746080162</v>
      </c>
      <c r="M121" s="21">
        <f>IF(J121=0,C121*0.7457/I121,C121*0.7457/L121)</f>
        <v>2.6890900881073097</v>
      </c>
      <c r="N121" s="20">
        <f>IF(J121=0,B121*I121,B121*L121)</f>
        <v>0.78665222105029309</v>
      </c>
    </row>
    <row r="122" spans="1:18" x14ac:dyDescent="0.3">
      <c r="C122" s="23"/>
      <c r="D122" s="23"/>
      <c r="E122" s="23"/>
      <c r="F122" s="23"/>
      <c r="G122" s="23"/>
      <c r="H122" s="23"/>
      <c r="I122" s="23"/>
      <c r="J122" s="23"/>
      <c r="K122" s="23"/>
      <c r="L122" s="23"/>
      <c r="M122" s="23"/>
    </row>
    <row r="123" spans="1:18" x14ac:dyDescent="0.3">
      <c r="C123" s="23"/>
      <c r="D123" s="23"/>
      <c r="E123" s="23"/>
      <c r="F123" s="23"/>
      <c r="G123" s="23"/>
      <c r="H123" s="23"/>
      <c r="I123" s="23"/>
      <c r="J123" s="23"/>
      <c r="K123" s="23"/>
      <c r="L123" s="23"/>
      <c r="M123" s="23"/>
    </row>
    <row r="124" spans="1:18" x14ac:dyDescent="0.3">
      <c r="C124" s="23"/>
      <c r="D124" s="23"/>
      <c r="E124" s="23"/>
      <c r="F124" s="23"/>
      <c r="G124" s="23"/>
      <c r="H124" s="23"/>
      <c r="I124" s="23"/>
      <c r="J124" s="23"/>
      <c r="K124" s="23"/>
      <c r="L124" s="23"/>
      <c r="M124" s="23"/>
    </row>
    <row r="125" spans="1:18" x14ac:dyDescent="0.3">
      <c r="C125" s="23"/>
      <c r="D125" s="23"/>
      <c r="E125" s="23"/>
      <c r="F125" s="23"/>
      <c r="G125" s="23"/>
      <c r="H125" s="23"/>
      <c r="I125" s="23"/>
      <c r="J125" s="23"/>
      <c r="K125" s="23"/>
      <c r="L125" s="23"/>
      <c r="M125" s="23"/>
    </row>
    <row r="126" spans="1:18" x14ac:dyDescent="0.3">
      <c r="C126" s="23"/>
      <c r="D126" s="23"/>
      <c r="E126" s="23"/>
      <c r="F126" s="23"/>
      <c r="G126" s="23"/>
      <c r="H126" s="23"/>
      <c r="I126" s="23"/>
      <c r="J126" s="23"/>
      <c r="K126" s="23"/>
      <c r="L126" s="23"/>
      <c r="M126" s="23"/>
    </row>
    <row r="127" spans="1:18" x14ac:dyDescent="0.3">
      <c r="C127" s="23"/>
      <c r="D127" s="23"/>
      <c r="E127" s="23"/>
      <c r="F127" s="23"/>
      <c r="G127" s="23"/>
      <c r="H127" s="23"/>
      <c r="I127" s="23"/>
      <c r="J127" s="23"/>
      <c r="K127" s="23"/>
      <c r="L127" s="23"/>
      <c r="M127" s="23"/>
    </row>
    <row r="128" spans="1:18" x14ac:dyDescent="0.3">
      <c r="C128" s="23"/>
      <c r="D128" s="23"/>
      <c r="E128" s="23"/>
      <c r="F128" s="23"/>
      <c r="G128" s="23"/>
      <c r="H128" s="23"/>
      <c r="I128" s="23"/>
      <c r="J128" s="23"/>
      <c r="K128" s="23"/>
      <c r="L128" s="23"/>
      <c r="M128" s="23"/>
    </row>
    <row r="129" spans="1:14" x14ac:dyDescent="0.3">
      <c r="A129" s="12"/>
      <c r="C129" s="23"/>
      <c r="D129" s="23"/>
      <c r="E129" s="23"/>
      <c r="F129" s="23"/>
      <c r="G129" s="23"/>
      <c r="H129" s="23"/>
      <c r="I129" s="23"/>
      <c r="J129" s="23"/>
      <c r="K129" s="23"/>
      <c r="L129" s="23"/>
      <c r="M129" s="23"/>
      <c r="N129" s="12"/>
    </row>
    <row r="130" spans="1:14" x14ac:dyDescent="0.3">
      <c r="A130" s="2"/>
      <c r="B130" s="12"/>
      <c r="C130" s="23"/>
      <c r="D130" s="23"/>
      <c r="E130" s="23"/>
      <c r="F130" s="23"/>
      <c r="G130" s="23"/>
      <c r="H130" s="23"/>
      <c r="I130" s="23"/>
      <c r="J130" s="23"/>
      <c r="K130" s="23"/>
      <c r="L130" s="23"/>
      <c r="M130" s="23"/>
      <c r="N130" s="20"/>
    </row>
    <row r="131" spans="1:14" x14ac:dyDescent="0.3">
      <c r="A131" s="2"/>
      <c r="B131" s="23"/>
      <c r="C131" s="23"/>
      <c r="D131" s="23"/>
      <c r="E131" s="23"/>
      <c r="F131" s="23"/>
      <c r="G131" s="23"/>
      <c r="H131" s="23"/>
      <c r="I131" s="23"/>
      <c r="J131" s="23"/>
      <c r="K131" s="23"/>
      <c r="L131" s="23"/>
      <c r="M131" s="23"/>
      <c r="N131" s="20"/>
    </row>
    <row r="132" spans="1:14" x14ac:dyDescent="0.3">
      <c r="A132" s="2"/>
      <c r="B132" s="23"/>
      <c r="C132" s="23"/>
      <c r="D132" s="23"/>
      <c r="E132" s="23"/>
      <c r="F132" s="23"/>
      <c r="G132" s="23"/>
      <c r="H132" s="23"/>
      <c r="I132" s="23"/>
      <c r="J132" s="23"/>
      <c r="K132" s="23"/>
      <c r="L132" s="23"/>
      <c r="M132" s="23"/>
      <c r="N132" s="20"/>
    </row>
    <row r="133" spans="1:14" x14ac:dyDescent="0.3">
      <c r="A133" s="2"/>
      <c r="B133" s="23"/>
      <c r="C133" s="23"/>
      <c r="D133" s="23"/>
      <c r="E133" s="23"/>
      <c r="F133" s="23"/>
      <c r="G133" s="23"/>
      <c r="H133" s="23"/>
      <c r="I133" s="23"/>
      <c r="J133" s="23"/>
      <c r="K133" s="23"/>
      <c r="L133" s="23"/>
      <c r="M133" s="23"/>
      <c r="N133" s="20"/>
    </row>
    <row r="134" spans="1:14" x14ac:dyDescent="0.3">
      <c r="A134" s="2"/>
      <c r="B134" s="23"/>
      <c r="C134" s="23"/>
      <c r="D134" s="23"/>
      <c r="E134" s="23"/>
      <c r="F134" s="23"/>
      <c r="G134" s="23"/>
      <c r="H134" s="23"/>
      <c r="I134" s="23"/>
      <c r="J134" s="23"/>
      <c r="K134" s="23"/>
      <c r="L134" s="23"/>
      <c r="M134" s="23"/>
      <c r="N134" s="20"/>
    </row>
    <row r="135" spans="1:14" x14ac:dyDescent="0.3">
      <c r="A135" s="2"/>
      <c r="B135" s="23"/>
      <c r="C135" s="23"/>
      <c r="D135" s="23"/>
      <c r="E135" s="23"/>
      <c r="F135" s="23"/>
      <c r="G135" s="23"/>
      <c r="H135" s="23"/>
      <c r="I135" s="23"/>
      <c r="J135" s="23"/>
      <c r="K135" s="23"/>
      <c r="L135" s="23"/>
      <c r="M135" s="23"/>
      <c r="N135" s="20"/>
    </row>
    <row r="136" spans="1:14" x14ac:dyDescent="0.3">
      <c r="A136" s="2"/>
      <c r="B136" s="23"/>
      <c r="C136" s="23"/>
      <c r="D136" s="23"/>
      <c r="E136" s="23"/>
      <c r="F136" s="23"/>
      <c r="G136" s="23"/>
      <c r="H136" s="23"/>
      <c r="I136" s="23"/>
      <c r="J136" s="23"/>
      <c r="K136" s="23"/>
      <c r="L136" s="23"/>
      <c r="M136" s="23"/>
      <c r="N136" s="20"/>
    </row>
    <row r="137" spans="1:14" x14ac:dyDescent="0.3">
      <c r="A137" s="2"/>
      <c r="B137" s="23"/>
      <c r="C137" s="23"/>
      <c r="D137" s="23"/>
      <c r="E137" s="23"/>
      <c r="F137" s="23"/>
      <c r="G137" s="23"/>
      <c r="H137" s="23"/>
      <c r="I137" s="23"/>
      <c r="J137" s="23"/>
      <c r="K137" s="23"/>
      <c r="L137" s="23"/>
      <c r="M137" s="23"/>
      <c r="N137" s="20"/>
    </row>
    <row r="138" spans="1:14" x14ac:dyDescent="0.3">
      <c r="A138" s="2"/>
      <c r="B138" s="23"/>
      <c r="C138" s="23"/>
      <c r="D138" s="23"/>
      <c r="E138" s="23"/>
      <c r="F138" s="23"/>
      <c r="G138" s="23"/>
      <c r="H138" s="23"/>
      <c r="I138" s="23"/>
      <c r="J138" s="23"/>
      <c r="K138" s="23"/>
      <c r="L138" s="23"/>
      <c r="M138" s="23"/>
      <c r="N138" s="20"/>
    </row>
    <row r="139" spans="1:14" x14ac:dyDescent="0.3">
      <c r="A139" s="2"/>
      <c r="B139" s="23"/>
      <c r="C139" s="23"/>
      <c r="D139" s="23"/>
      <c r="E139" s="23"/>
      <c r="F139" s="23"/>
      <c r="G139" s="23"/>
      <c r="H139" s="23"/>
      <c r="I139" s="23"/>
      <c r="J139" s="23"/>
      <c r="K139" s="23"/>
      <c r="L139" s="23"/>
      <c r="M139" s="23"/>
      <c r="N139" s="20"/>
    </row>
    <row r="140" spans="1:14" x14ac:dyDescent="0.3">
      <c r="B140" s="23"/>
      <c r="C140" s="23"/>
      <c r="D140" s="23"/>
      <c r="E140" s="23"/>
      <c r="F140" s="23"/>
      <c r="G140" s="23"/>
      <c r="H140" s="23"/>
      <c r="I140" s="23"/>
      <c r="J140" s="23"/>
      <c r="K140" s="23"/>
      <c r="L140" s="23"/>
      <c r="M140" s="23"/>
    </row>
    <row r="141" spans="1:14" x14ac:dyDescent="0.3">
      <c r="C141" s="23"/>
      <c r="D141" s="23"/>
      <c r="E141" s="23"/>
      <c r="F141" s="23"/>
      <c r="G141" s="23"/>
      <c r="H141" s="23"/>
      <c r="I141" s="23"/>
      <c r="J141" s="23"/>
      <c r="K141" s="23"/>
      <c r="L141" s="23"/>
      <c r="M141" s="23"/>
    </row>
    <row r="142" spans="1:14" x14ac:dyDescent="0.3">
      <c r="C142" s="23"/>
      <c r="D142" s="23"/>
      <c r="E142" s="23"/>
      <c r="F142" s="23"/>
      <c r="G142" s="23"/>
      <c r="H142" s="23"/>
      <c r="I142" s="23"/>
      <c r="J142" s="23"/>
      <c r="K142" s="23"/>
      <c r="L142" s="23"/>
      <c r="M142" s="23"/>
    </row>
    <row r="143" spans="1:14" x14ac:dyDescent="0.3">
      <c r="C143" s="23"/>
      <c r="D143" s="23"/>
      <c r="E143" s="23"/>
      <c r="F143" s="23"/>
      <c r="G143" s="23"/>
      <c r="H143" s="23"/>
      <c r="I143" s="23"/>
      <c r="J143" s="23"/>
      <c r="K143" s="23"/>
      <c r="L143" s="23"/>
      <c r="M143" s="23"/>
    </row>
  </sheetData>
  <mergeCells count="61">
    <mergeCell ref="E108:E109"/>
    <mergeCell ref="F108:G108"/>
    <mergeCell ref="J108:K108"/>
    <mergeCell ref="J57:L57"/>
    <mergeCell ref="B58:E58"/>
    <mergeCell ref="J58:L58"/>
    <mergeCell ref="B59:E59"/>
    <mergeCell ref="J59:L59"/>
    <mergeCell ref="E83:H83"/>
    <mergeCell ref="I83:L83"/>
    <mergeCell ref="B57:E57"/>
    <mergeCell ref="E87:E88"/>
    <mergeCell ref="F87:G87"/>
    <mergeCell ref="J87:K87"/>
    <mergeCell ref="E104:H104"/>
    <mergeCell ref="I104:L104"/>
    <mergeCell ref="B52:E52"/>
    <mergeCell ref="B53:E53"/>
    <mergeCell ref="B54:E54"/>
    <mergeCell ref="B55:E55"/>
    <mergeCell ref="B56:E56"/>
    <mergeCell ref="V39:X39"/>
    <mergeCell ref="Y39:AA39"/>
    <mergeCell ref="B40:E40"/>
    <mergeCell ref="B41:E41"/>
    <mergeCell ref="B42:E42"/>
    <mergeCell ref="B39:E39"/>
    <mergeCell ref="B34:E34"/>
    <mergeCell ref="B35:E35"/>
    <mergeCell ref="B37:E37"/>
    <mergeCell ref="B38:E38"/>
    <mergeCell ref="G49:G51"/>
    <mergeCell ref="B43:E43"/>
    <mergeCell ref="B44:E44"/>
    <mergeCell ref="B45:E45"/>
    <mergeCell ref="B46:E46"/>
    <mergeCell ref="E49:E51"/>
    <mergeCell ref="F49:F51"/>
    <mergeCell ref="G14:H14"/>
    <mergeCell ref="C4:F4"/>
    <mergeCell ref="G4:H4"/>
    <mergeCell ref="C5:F5"/>
    <mergeCell ref="G5:H5"/>
    <mergeCell ref="C6:F6"/>
    <mergeCell ref="G6:H6"/>
    <mergeCell ref="C7:F7"/>
    <mergeCell ref="C8:F8"/>
    <mergeCell ref="C9:F9"/>
    <mergeCell ref="C10:F10"/>
    <mergeCell ref="C11:F11"/>
    <mergeCell ref="E26:H28"/>
    <mergeCell ref="E16:F16"/>
    <mergeCell ref="E17:F17"/>
    <mergeCell ref="E18:F18"/>
    <mergeCell ref="E19:F19"/>
    <mergeCell ref="E20:F20"/>
    <mergeCell ref="E21:F21"/>
    <mergeCell ref="E22:F22"/>
    <mergeCell ref="E23:F23"/>
    <mergeCell ref="E24:F24"/>
    <mergeCell ref="E25:F25"/>
  </mergeCells>
  <dataValidations count="7">
    <dataValidation type="list" allowBlank="1" showInputMessage="1" showErrorMessage="1" sqref="F52:G52" xr:uid="{FDFAD575-659C-4BEC-87F3-3219A33FB76E}">
      <formula1>$X$83:$X$85</formula1>
    </dataValidation>
    <dataValidation type="list" allowBlank="1" showInputMessage="1" showErrorMessage="1" sqref="E16" xr:uid="{20C03EB5-8D6A-4306-BB50-917F062F5A35}">
      <formula1>$Z$83:$Z$86</formula1>
    </dataValidation>
    <dataValidation type="list" allowBlank="1" showInputMessage="1" showErrorMessage="1" sqref="G5:H5" xr:uid="{4ACE157C-B193-401B-80C9-690EB0BFC5C9}">
      <formula1>$W$83:$W$85</formula1>
    </dataValidation>
    <dataValidation type="list" allowBlank="1" showInputMessage="1" showErrorMessage="1" sqref="G8:H8 E23:E24 E17:E20" xr:uid="{3472C77B-B194-484E-BA82-7A50309B4BB6}">
      <formula1>$X$83:$X$84</formula1>
    </dataValidation>
    <dataValidation type="list" allowBlank="1" showInputMessage="1" showErrorMessage="1" sqref="G9:H9" xr:uid="{01F7D581-7032-4E86-BA41-14F5B1D8B30F}">
      <formula1>$P$83:$P$84</formula1>
    </dataValidation>
    <dataValidation type="list" allowBlank="1" showInputMessage="1" showErrorMessage="1" sqref="F55:G55" xr:uid="{76B97FF6-0997-402A-B00A-394183C0F421}">
      <formula1>$O$83:$O$84</formula1>
    </dataValidation>
    <dataValidation type="list" allowBlank="1" showInputMessage="1" showErrorMessage="1" sqref="F56:G56" xr:uid="{9864AB6D-3663-4851-83B4-0D8D35646B0D}">
      <formula1>$Q$83:$Q$86</formula1>
    </dataValidation>
  </dataValidations>
  <pageMargins left="0.7" right="0.7" top="0.75" bottom="0.75" header="0.3" footer="0.3"/>
  <pageSetup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97BD0-E0BF-4967-9F86-F5B04E105AE5}">
  <sheetPr>
    <tabColor theme="9" tint="0.79998168889431442"/>
  </sheetPr>
  <dimension ref="A2:AE143"/>
  <sheetViews>
    <sheetView showGridLines="0" topLeftCell="I31" zoomScale="90" zoomScaleNormal="90" workbookViewId="0">
      <selection activeCell="Y44" sqref="Y44:AD44"/>
    </sheetView>
  </sheetViews>
  <sheetFormatPr defaultRowHeight="14.4" x14ac:dyDescent="0.3"/>
  <cols>
    <col min="2" max="2" width="11.88671875" bestFit="1" customWidth="1"/>
    <col min="3" max="3" width="11.6640625" customWidth="1"/>
    <col min="5" max="5" width="12.33203125" customWidth="1"/>
    <col min="6" max="6" width="15.6640625" customWidth="1"/>
    <col min="7" max="7" width="13" customWidth="1"/>
    <col min="8" max="8" width="14" bestFit="1" customWidth="1"/>
    <col min="9" max="9" width="15.109375" customWidth="1"/>
    <col min="13" max="14" width="10.6640625" customWidth="1"/>
    <col min="15" max="15" width="9.6640625" customWidth="1"/>
    <col min="17" max="17" width="14.5546875" customWidth="1"/>
    <col min="18" max="18" width="12.109375" customWidth="1"/>
    <col min="19" max="19" width="16.109375" customWidth="1"/>
    <col min="20" max="20" width="15.44140625" customWidth="1"/>
    <col min="24" max="24" width="48.44140625" customWidth="1"/>
    <col min="25" max="25" width="10.109375" customWidth="1"/>
    <col min="26" max="26" width="12.44140625" customWidth="1"/>
    <col min="29" max="29" width="10.44140625" customWidth="1"/>
  </cols>
  <sheetData>
    <row r="2" spans="2:15" x14ac:dyDescent="0.3">
      <c r="N2" s="95"/>
    </row>
    <row r="3" spans="2:15" x14ac:dyDescent="0.3">
      <c r="G3" s="33" t="s">
        <v>25</v>
      </c>
      <c r="K3" t="s">
        <v>26</v>
      </c>
      <c r="N3" s="96"/>
    </row>
    <row r="4" spans="2:15" x14ac:dyDescent="0.3">
      <c r="D4" s="144" t="s">
        <v>27</v>
      </c>
      <c r="E4" s="145"/>
      <c r="F4" s="145"/>
      <c r="G4" s="146"/>
      <c r="H4" s="156" t="s">
        <v>28</v>
      </c>
      <c r="I4" s="157"/>
      <c r="K4" s="154" t="s">
        <v>29</v>
      </c>
      <c r="L4" s="154"/>
      <c r="M4" s="154"/>
      <c r="N4" s="154"/>
    </row>
    <row r="5" spans="2:15" x14ac:dyDescent="0.3">
      <c r="D5" s="144" t="s">
        <v>30</v>
      </c>
      <c r="E5" s="145"/>
      <c r="F5" s="145"/>
      <c r="G5" s="146"/>
      <c r="H5" s="158" t="s">
        <v>20</v>
      </c>
      <c r="I5" s="158"/>
      <c r="K5" s="181" t="s">
        <v>31</v>
      </c>
      <c r="L5" s="181"/>
      <c r="M5" s="181"/>
      <c r="N5" s="181"/>
    </row>
    <row r="6" spans="2:15" x14ac:dyDescent="0.3">
      <c r="D6" s="144" t="s">
        <v>32</v>
      </c>
      <c r="E6" s="145"/>
      <c r="F6" s="145"/>
      <c r="G6" s="146"/>
      <c r="H6" s="156" t="s">
        <v>202</v>
      </c>
      <c r="I6" s="157"/>
      <c r="K6" s="182" t="s">
        <v>34</v>
      </c>
      <c r="L6" s="183"/>
      <c r="M6" s="183"/>
      <c r="N6" s="183"/>
    </row>
    <row r="7" spans="2:15" x14ac:dyDescent="0.3">
      <c r="D7" s="144"/>
      <c r="E7" s="145"/>
      <c r="F7" s="145"/>
      <c r="G7" s="146"/>
      <c r="H7" s="108" t="s">
        <v>35</v>
      </c>
      <c r="I7" s="108" t="s">
        <v>192</v>
      </c>
      <c r="K7" s="184" t="s">
        <v>36</v>
      </c>
      <c r="L7" s="184"/>
      <c r="M7" s="184"/>
      <c r="N7" s="184"/>
    </row>
    <row r="8" spans="2:15" x14ac:dyDescent="0.3">
      <c r="D8" s="144" t="s">
        <v>37</v>
      </c>
      <c r="E8" s="145"/>
      <c r="F8" s="145"/>
      <c r="G8" s="146"/>
      <c r="H8" s="109" t="s">
        <v>45</v>
      </c>
      <c r="I8" s="109" t="s">
        <v>45</v>
      </c>
    </row>
    <row r="9" spans="2:15" x14ac:dyDescent="0.3">
      <c r="D9" s="144" t="s">
        <v>39</v>
      </c>
      <c r="E9" s="145"/>
      <c r="F9" s="145"/>
      <c r="G9" s="146"/>
      <c r="H9" s="109" t="s">
        <v>140</v>
      </c>
      <c r="I9" s="109" t="s">
        <v>140</v>
      </c>
    </row>
    <row r="10" spans="2:15" x14ac:dyDescent="0.3">
      <c r="D10" s="144" t="s">
        <v>41</v>
      </c>
      <c r="E10" s="145"/>
      <c r="F10" s="145"/>
      <c r="G10" s="146"/>
      <c r="H10" s="109">
        <v>8000</v>
      </c>
      <c r="I10" s="109">
        <v>7600</v>
      </c>
    </row>
    <row r="11" spans="2:15" x14ac:dyDescent="0.3">
      <c r="D11" s="153" t="s">
        <v>193</v>
      </c>
      <c r="E11" s="153"/>
      <c r="F11" s="153"/>
      <c r="G11" s="153"/>
      <c r="H11" s="71">
        <v>0.2</v>
      </c>
    </row>
    <row r="12" spans="2:15" x14ac:dyDescent="0.3">
      <c r="J12" s="68"/>
      <c r="K12" s="68"/>
    </row>
    <row r="13" spans="2:15" x14ac:dyDescent="0.3">
      <c r="B13" s="68"/>
      <c r="C13" s="68"/>
      <c r="D13" s="68"/>
      <c r="E13" s="68"/>
      <c r="F13" s="68"/>
      <c r="J13" s="68"/>
      <c r="K13" s="68"/>
      <c r="O13" s="23"/>
    </row>
    <row r="14" spans="2:15" x14ac:dyDescent="0.3">
      <c r="B14" s="68"/>
      <c r="C14" s="68"/>
      <c r="D14" s="68"/>
      <c r="H14" s="170" t="s">
        <v>64</v>
      </c>
      <c r="I14" s="170"/>
      <c r="J14" s="68"/>
      <c r="K14" s="68"/>
      <c r="O14" s="23"/>
    </row>
    <row r="15" spans="2:15" x14ac:dyDescent="0.3">
      <c r="B15" s="68"/>
      <c r="C15" s="68"/>
      <c r="D15" s="68"/>
      <c r="H15" s="23" t="s">
        <v>35</v>
      </c>
      <c r="I15" s="107" t="s">
        <v>194</v>
      </c>
      <c r="J15" s="68"/>
      <c r="K15" s="68"/>
      <c r="O15" s="23"/>
    </row>
    <row r="16" spans="2:15" x14ac:dyDescent="0.3">
      <c r="B16" s="68"/>
      <c r="E16" s="43" t="s">
        <v>42</v>
      </c>
      <c r="F16" s="154" t="s">
        <v>156</v>
      </c>
      <c r="G16" s="154"/>
      <c r="H16" s="109">
        <v>3000</v>
      </c>
      <c r="I16" s="106"/>
      <c r="J16" s="47" t="str">
        <f>IF(H16&gt;$H$10,"Warning - value exceeds entered supply airflow!","")</f>
        <v/>
      </c>
    </row>
    <row r="17" spans="2:20" x14ac:dyDescent="0.3">
      <c r="B17" s="68"/>
      <c r="E17" s="43" t="s">
        <v>44</v>
      </c>
      <c r="F17" s="154" t="s">
        <v>45</v>
      </c>
      <c r="G17" s="154"/>
      <c r="H17" s="57">
        <f>IF(F17=$X$84,H10,0)</f>
        <v>8000</v>
      </c>
      <c r="I17" s="106"/>
    </row>
    <row r="18" spans="2:20" x14ac:dyDescent="0.3">
      <c r="E18" s="43" t="s">
        <v>47</v>
      </c>
      <c r="F18" s="154" t="s">
        <v>38</v>
      </c>
      <c r="G18" s="154"/>
      <c r="H18" s="57">
        <f>IF(F18=$X$84,H10,0)</f>
        <v>0</v>
      </c>
      <c r="I18" s="106"/>
    </row>
    <row r="19" spans="2:20" x14ac:dyDescent="0.3">
      <c r="E19" s="43" t="s">
        <v>49</v>
      </c>
      <c r="F19" s="154" t="s">
        <v>45</v>
      </c>
      <c r="G19" s="154"/>
      <c r="H19" s="57">
        <f>IF(F19=$X$84,H10,0)</f>
        <v>8000</v>
      </c>
      <c r="I19" s="106"/>
    </row>
    <row r="20" spans="2:20" x14ac:dyDescent="0.3">
      <c r="B20" s="68"/>
      <c r="E20" s="43" t="s">
        <v>51</v>
      </c>
      <c r="F20" s="154" t="s">
        <v>38</v>
      </c>
      <c r="G20" s="154"/>
      <c r="H20" s="57">
        <f>IF(F20=$X$84,H10,0)</f>
        <v>0</v>
      </c>
      <c r="I20" s="106"/>
    </row>
    <row r="21" spans="2:20" x14ac:dyDescent="0.3">
      <c r="E21" s="43" t="s">
        <v>195</v>
      </c>
      <c r="F21" s="177"/>
      <c r="G21" s="178"/>
      <c r="H21" s="109">
        <v>3000</v>
      </c>
      <c r="I21" s="109">
        <v>2600</v>
      </c>
      <c r="J21" s="47" t="str">
        <f>IF(AND(H21&gt;$H$10, I21&gt;$I$10),"Warning - values exceed both entered supply and exhaust/return airflows!",IF(H21&gt;H10,"Warning - value exceeds entered supply airflow!",IF(I21&gt;$I$10,"Warning - value exceeds entered exhaust/return airflow!","")))</f>
        <v/>
      </c>
    </row>
    <row r="22" spans="2:20" x14ac:dyDescent="0.3">
      <c r="E22" s="115" t="s">
        <v>46</v>
      </c>
      <c r="F22" s="177"/>
      <c r="G22" s="178"/>
      <c r="H22" s="109">
        <v>5000</v>
      </c>
      <c r="I22" s="106"/>
      <c r="J22" s="47" t="str">
        <f>IF(H22&gt;$H$10,"Warning - value exceeds entered supply airflow!","")</f>
        <v/>
      </c>
      <c r="T22" s="69"/>
    </row>
    <row r="23" spans="2:20" x14ac:dyDescent="0.3">
      <c r="E23" s="115" t="s">
        <v>48</v>
      </c>
      <c r="F23" s="154" t="s">
        <v>38</v>
      </c>
      <c r="G23" s="154"/>
      <c r="H23" s="57">
        <f>IF(F23=$X$84,H10,0)</f>
        <v>0</v>
      </c>
      <c r="I23" s="106"/>
      <c r="T23" s="69"/>
    </row>
    <row r="24" spans="2:20" x14ac:dyDescent="0.3">
      <c r="E24" s="115" t="s">
        <v>50</v>
      </c>
      <c r="F24" s="154" t="s">
        <v>38</v>
      </c>
      <c r="G24" s="154"/>
      <c r="H24" s="57">
        <f>IF(F24=$X$84,H10,0)</f>
        <v>0</v>
      </c>
      <c r="I24" s="106"/>
      <c r="J24" s="100"/>
      <c r="T24" s="69"/>
    </row>
    <row r="25" spans="2:20" ht="15" customHeight="1" x14ac:dyDescent="0.3">
      <c r="E25" s="115" t="s">
        <v>52</v>
      </c>
      <c r="F25" s="177"/>
      <c r="G25" s="179"/>
      <c r="H25" s="106"/>
      <c r="I25" s="109">
        <v>7600</v>
      </c>
      <c r="J25" s="47" t="str">
        <f>IF(I25&gt;$I$10,"Warning - value exceeds entered exhaust/return airflow!","")</f>
        <v/>
      </c>
      <c r="T25" s="69"/>
    </row>
    <row r="26" spans="2:20" ht="15" customHeight="1" x14ac:dyDescent="0.3">
      <c r="F26" s="161" t="s">
        <v>196</v>
      </c>
      <c r="G26" s="161"/>
      <c r="H26" s="161"/>
      <c r="I26" s="161"/>
      <c r="T26" s="69"/>
    </row>
    <row r="27" spans="2:20" x14ac:dyDescent="0.3">
      <c r="F27" s="161"/>
      <c r="G27" s="161"/>
      <c r="H27" s="161"/>
      <c r="I27" s="161"/>
      <c r="R27" s="100"/>
      <c r="S27" s="75"/>
      <c r="T27" s="69"/>
    </row>
    <row r="28" spans="2:20" x14ac:dyDescent="0.3">
      <c r="F28" s="161"/>
      <c r="G28" s="161"/>
      <c r="H28" s="161"/>
      <c r="I28" s="161"/>
      <c r="S28" s="69"/>
      <c r="T28" s="69"/>
    </row>
    <row r="30" spans="2:20" ht="18" x14ac:dyDescent="0.35">
      <c r="B30" s="70" t="s">
        <v>54</v>
      </c>
    </row>
    <row r="32" spans="2:20" x14ac:dyDescent="0.3">
      <c r="B32" s="46" t="s">
        <v>55</v>
      </c>
      <c r="J32" s="46" t="s">
        <v>56</v>
      </c>
    </row>
    <row r="34" spans="2:31" x14ac:dyDescent="0.3">
      <c r="B34" s="141" t="s">
        <v>57</v>
      </c>
      <c r="C34" s="142"/>
      <c r="D34" s="142"/>
      <c r="E34" s="143"/>
      <c r="F34" s="59">
        <f>IF(H5="MZ-VAV",H10*0.0015,H10*0.0011)</f>
        <v>12</v>
      </c>
    </row>
    <row r="35" spans="2:31" x14ac:dyDescent="0.3">
      <c r="B35" s="141" t="s">
        <v>58</v>
      </c>
      <c r="C35" s="142"/>
      <c r="D35" s="142"/>
      <c r="E35" s="143"/>
      <c r="F35" s="65">
        <f>SMALL($S$83:$S$107,COUNTIF($S$83:$S$107,"&lt;="&amp;F34))</f>
        <v>10</v>
      </c>
    </row>
    <row r="37" spans="2:31" ht="43.2" x14ac:dyDescent="0.3">
      <c r="B37" s="141" t="s">
        <v>59</v>
      </c>
      <c r="C37" s="142"/>
      <c r="D37" s="142"/>
      <c r="E37" s="143"/>
      <c r="F37" s="60" t="s">
        <v>60</v>
      </c>
      <c r="G37" s="60" t="s">
        <v>61</v>
      </c>
      <c r="H37" s="60" t="s">
        <v>62</v>
      </c>
      <c r="J37" s="180" t="s">
        <v>197</v>
      </c>
      <c r="K37" s="180"/>
      <c r="L37" s="180"/>
      <c r="M37" s="180"/>
      <c r="N37" s="180"/>
      <c r="O37" s="97" t="s">
        <v>64</v>
      </c>
      <c r="P37" s="64" t="s">
        <v>65</v>
      </c>
      <c r="Q37" s="60" t="s">
        <v>66</v>
      </c>
    </row>
    <row r="38" spans="2:31" ht="15" customHeight="1" x14ac:dyDescent="0.3">
      <c r="B38" s="138" t="s">
        <v>67</v>
      </c>
      <c r="C38" s="139"/>
      <c r="D38" s="139"/>
      <c r="E38" s="140"/>
      <c r="F38" s="38">
        <f>H10</f>
        <v>8000</v>
      </c>
      <c r="G38" s="39" t="s">
        <v>68</v>
      </c>
      <c r="H38" s="42">
        <f>IF(H5="MZ-VAV",F38*0.0013,F38*0.00094)</f>
        <v>10.4</v>
      </c>
      <c r="J38" s="153" t="s">
        <v>69</v>
      </c>
      <c r="K38" s="153"/>
      <c r="L38" s="153"/>
      <c r="M38" s="153"/>
      <c r="N38" s="153"/>
      <c r="O38" s="98">
        <f>H10</f>
        <v>8000</v>
      </c>
      <c r="P38" s="63">
        <f t="shared" ref="P38:P47" si="0">IF(AND(H$5="MZ-VAV",H$10&gt;10000),Y42,IF(AND(H$5="MZ-VAV",H$10&lt;=10000,H$10&gt;5000),Z42,IF(H$5="MZ-VAV",AA42,IF(H$10&gt;10000,AB42,IF(AND(H$10&lt;=10000,H$10&gt;5000),AC42,AD42)))))</f>
        <v>0.47247114743046226</v>
      </c>
      <c r="Q38" s="63">
        <f>O38*P38/1000</f>
        <v>3.7797691794436981</v>
      </c>
    </row>
    <row r="39" spans="2:31" ht="15" customHeight="1" x14ac:dyDescent="0.3">
      <c r="B39" s="138" t="s">
        <v>70</v>
      </c>
      <c r="C39" s="139"/>
      <c r="D39" s="139"/>
      <c r="E39" s="140"/>
      <c r="F39" s="38">
        <f>IF(F16=Y84,H16,0)</f>
        <v>0</v>
      </c>
      <c r="G39" s="40">
        <v>0.5</v>
      </c>
      <c r="H39" s="42">
        <f>G39*F39/4131</f>
        <v>0</v>
      </c>
      <c r="J39" s="153" t="s">
        <v>71</v>
      </c>
      <c r="K39" s="153"/>
      <c r="L39" s="153"/>
      <c r="M39" s="153"/>
      <c r="N39" s="153"/>
      <c r="O39" s="99">
        <f>IF(OR(F16=Y83,F16=Y84),H16,0)</f>
        <v>0</v>
      </c>
      <c r="P39" s="58">
        <f t="shared" si="0"/>
        <v>7.9265464074544267E-2</v>
      </c>
      <c r="Q39" s="58">
        <f t="shared" ref="Q39:Q49" si="1">O39*P39/1000</f>
        <v>0</v>
      </c>
      <c r="Z39" s="155" t="s">
        <v>72</v>
      </c>
      <c r="AA39" s="155"/>
      <c r="AB39" s="155"/>
      <c r="AC39" s="155" t="s">
        <v>73</v>
      </c>
      <c r="AD39" s="155"/>
      <c r="AE39" s="155"/>
    </row>
    <row r="40" spans="2:31" ht="15" customHeight="1" x14ac:dyDescent="0.3">
      <c r="B40" s="138" t="s">
        <v>74</v>
      </c>
      <c r="C40" s="139"/>
      <c r="D40" s="139"/>
      <c r="E40" s="140"/>
      <c r="F40" s="38">
        <f>IF(OR(F16=Y85,F16=Y86),H16,0)</f>
        <v>3000</v>
      </c>
      <c r="G40" s="40">
        <v>0.9</v>
      </c>
      <c r="H40" s="42">
        <f>G40*F40/4131</f>
        <v>0.65359477124183007</v>
      </c>
      <c r="J40" s="153" t="s">
        <v>75</v>
      </c>
      <c r="K40" s="153"/>
      <c r="L40" s="153"/>
      <c r="M40" s="153"/>
      <c r="N40" s="153"/>
      <c r="O40" s="99">
        <f>IF(F16=Y85,H16,0)</f>
        <v>0</v>
      </c>
      <c r="P40" s="58">
        <f t="shared" si="0"/>
        <v>0.17662576240254202</v>
      </c>
      <c r="Q40" s="58">
        <f t="shared" si="1"/>
        <v>0</v>
      </c>
      <c r="X40" t="s">
        <v>76</v>
      </c>
      <c r="Y40" s="107" t="s">
        <v>77</v>
      </c>
      <c r="Z40" s="107" t="s">
        <v>78</v>
      </c>
      <c r="AA40" s="107" t="s">
        <v>79</v>
      </c>
      <c r="AB40" s="107" t="s">
        <v>77</v>
      </c>
      <c r="AC40" s="107" t="s">
        <v>78</v>
      </c>
      <c r="AD40" s="107" t="s">
        <v>79</v>
      </c>
    </row>
    <row r="41" spans="2:31" ht="15" customHeight="1" x14ac:dyDescent="0.3">
      <c r="B41" s="138" t="s">
        <v>80</v>
      </c>
      <c r="C41" s="139"/>
      <c r="D41" s="139"/>
      <c r="E41" s="140"/>
      <c r="F41" s="73">
        <f>H21</f>
        <v>3000</v>
      </c>
      <c r="G41" s="40">
        <f>2.2*0.625-0.5</f>
        <v>0.875</v>
      </c>
      <c r="H41" s="74">
        <f t="shared" ref="H41:H45" si="2">G41*F41/4131</f>
        <v>0.635439360929557</v>
      </c>
      <c r="J41" s="153" t="s">
        <v>81</v>
      </c>
      <c r="K41" s="153"/>
      <c r="L41" s="153"/>
      <c r="M41" s="153"/>
      <c r="N41" s="153"/>
      <c r="O41" s="99">
        <f>IF(F16=Y86,H16,0)</f>
        <v>3000</v>
      </c>
      <c r="P41" s="58">
        <f t="shared" si="0"/>
        <v>0.19590563731515243</v>
      </c>
      <c r="Q41" s="58">
        <f t="shared" si="1"/>
        <v>0.58771691194545728</v>
      </c>
      <c r="R41" s="107"/>
      <c r="S41" s="107"/>
      <c r="T41" s="107"/>
      <c r="U41" s="107"/>
      <c r="V41" s="107"/>
    </row>
    <row r="42" spans="2:31" ht="15" customHeight="1" x14ac:dyDescent="0.3">
      <c r="B42" s="138" t="s">
        <v>82</v>
      </c>
      <c r="C42" s="139"/>
      <c r="D42" s="139"/>
      <c r="E42" s="140"/>
      <c r="F42" s="73">
        <f>I21</f>
        <v>2600</v>
      </c>
      <c r="G42" s="40">
        <v>0.875</v>
      </c>
      <c r="H42" s="74">
        <f t="shared" si="2"/>
        <v>0.55071411280561611</v>
      </c>
      <c r="J42" s="153" t="s">
        <v>44</v>
      </c>
      <c r="K42" s="153"/>
      <c r="L42" s="153"/>
      <c r="M42" s="153"/>
      <c r="N42" s="153"/>
      <c r="O42" s="99">
        <f>H17</f>
        <v>8000</v>
      </c>
      <c r="P42" s="58">
        <f t="shared" si="0"/>
        <v>0.11841599136629399</v>
      </c>
      <c r="Q42" s="58">
        <f t="shared" si="1"/>
        <v>0.94732793093035195</v>
      </c>
      <c r="R42" s="3"/>
      <c r="S42" s="3"/>
      <c r="T42" s="3"/>
      <c r="U42" s="3"/>
      <c r="V42" s="3"/>
      <c r="X42" t="s">
        <v>83</v>
      </c>
      <c r="Y42" s="30">
        <v>0.480042192663232</v>
      </c>
      <c r="Z42" s="30">
        <v>0.47247114743046226</v>
      </c>
      <c r="AA42" s="30">
        <v>0.41298194814204048</v>
      </c>
      <c r="AB42" s="30">
        <v>0.24829908242469739</v>
      </c>
      <c r="AC42" s="30">
        <v>0.26699447351984884</v>
      </c>
      <c r="AD42" s="30">
        <v>0.24303028515175154</v>
      </c>
    </row>
    <row r="43" spans="2:31" ht="15" customHeight="1" x14ac:dyDescent="0.3">
      <c r="B43" s="138" t="s">
        <v>84</v>
      </c>
      <c r="C43" s="139"/>
      <c r="D43" s="139"/>
      <c r="E43" s="140"/>
      <c r="F43" s="38">
        <f>IF(F17=X83,H10,0)</f>
        <v>0</v>
      </c>
      <c r="G43" s="40">
        <v>-0.6</v>
      </c>
      <c r="H43" s="42">
        <f t="shared" si="2"/>
        <v>0</v>
      </c>
      <c r="J43" s="153" t="s">
        <v>47</v>
      </c>
      <c r="K43" s="153"/>
      <c r="L43" s="153"/>
      <c r="M43" s="153"/>
      <c r="N43" s="153"/>
      <c r="O43" s="99">
        <f>H18</f>
        <v>0</v>
      </c>
      <c r="P43" s="58">
        <f t="shared" si="0"/>
        <v>4.970048602575472E-2</v>
      </c>
      <c r="Q43" s="58">
        <f t="shared" si="1"/>
        <v>0</v>
      </c>
      <c r="R43" s="3"/>
      <c r="S43" s="3"/>
      <c r="T43" s="3"/>
      <c r="U43" s="3"/>
      <c r="V43" s="3"/>
      <c r="X43" t="s">
        <v>85</v>
      </c>
      <c r="Y43" s="30">
        <v>7.3260688213430791E-2</v>
      </c>
      <c r="Z43" s="30">
        <v>7.9265464074544267E-2</v>
      </c>
      <c r="AA43" s="30">
        <v>9.394659388927229E-2</v>
      </c>
      <c r="AB43" s="30">
        <v>7.5394943815769111E-2</v>
      </c>
      <c r="AC43" s="30">
        <v>8.3644003518010157E-2</v>
      </c>
      <c r="AD43" s="30">
        <v>9.7212114060700655E-2</v>
      </c>
    </row>
    <row r="44" spans="2:31" ht="15" customHeight="1" x14ac:dyDescent="0.3">
      <c r="B44" s="138" t="s">
        <v>86</v>
      </c>
      <c r="C44" s="139"/>
      <c r="D44" s="139"/>
      <c r="E44" s="140"/>
      <c r="F44" s="38">
        <f>IF(AND(F18=X83,F19=X83,F20=X83),H10,0)</f>
        <v>0</v>
      </c>
      <c r="G44" s="40">
        <v>-0.3</v>
      </c>
      <c r="H44" s="42">
        <f t="shared" si="2"/>
        <v>0</v>
      </c>
      <c r="J44" s="153" t="s">
        <v>87</v>
      </c>
      <c r="K44" s="153"/>
      <c r="L44" s="153"/>
      <c r="M44" s="153"/>
      <c r="N44" s="153"/>
      <c r="O44" s="99">
        <f>H19</f>
        <v>8000</v>
      </c>
      <c r="P44" s="58">
        <f t="shared" si="0"/>
        <v>5.9575714976953242E-2</v>
      </c>
      <c r="Q44" s="58">
        <f t="shared" si="1"/>
        <v>0.47660571981562594</v>
      </c>
      <c r="R44" s="3"/>
      <c r="S44" s="3"/>
      <c r="T44" s="3"/>
      <c r="U44" s="3"/>
      <c r="V44" s="3"/>
      <c r="X44" t="s">
        <v>88</v>
      </c>
      <c r="Y44" s="30">
        <v>0.16544989147165456</v>
      </c>
      <c r="Z44" s="30">
        <v>0.17662576240254202</v>
      </c>
      <c r="AA44" s="30">
        <v>0.20986202636591322</v>
      </c>
      <c r="AB44" s="30">
        <v>0.16767207082659175</v>
      </c>
      <c r="AC44" s="30">
        <v>0.18543500810488656</v>
      </c>
      <c r="AD44" s="30">
        <v>0.21706458534324582</v>
      </c>
    </row>
    <row r="45" spans="2:31" ht="15" customHeight="1" x14ac:dyDescent="0.3">
      <c r="B45" s="138" t="s">
        <v>89</v>
      </c>
      <c r="C45" s="139"/>
      <c r="D45" s="139"/>
      <c r="E45" s="140"/>
      <c r="F45" s="38">
        <f>H20</f>
        <v>0</v>
      </c>
      <c r="G45" s="40">
        <v>-0.2</v>
      </c>
      <c r="H45" s="42">
        <f t="shared" si="2"/>
        <v>0</v>
      </c>
      <c r="J45" s="153" t="s">
        <v>51</v>
      </c>
      <c r="K45" s="153"/>
      <c r="L45" s="153"/>
      <c r="M45" s="153"/>
      <c r="N45" s="153"/>
      <c r="O45" s="99">
        <f>H20</f>
        <v>0</v>
      </c>
      <c r="P45" s="58">
        <f t="shared" si="0"/>
        <v>3.9804338915752746E-2</v>
      </c>
      <c r="Q45" s="58">
        <f t="shared" si="1"/>
        <v>0</v>
      </c>
      <c r="R45" s="3"/>
      <c r="S45" s="3"/>
      <c r="T45" s="3"/>
      <c r="U45" s="3"/>
      <c r="V45" s="3"/>
      <c r="X45" t="s">
        <v>90</v>
      </c>
      <c r="Y45" s="30">
        <v>0.18400785485257742</v>
      </c>
      <c r="Z45" s="30">
        <v>0.19590563731515243</v>
      </c>
      <c r="AA45" s="30">
        <v>0.23285256485146011</v>
      </c>
      <c r="AB45" s="30">
        <v>0.18599636767076033</v>
      </c>
      <c r="AC45" s="30">
        <v>0.20547667391061342</v>
      </c>
      <c r="AD45" s="30">
        <v>0.24051581279369563</v>
      </c>
    </row>
    <row r="46" spans="2:31" ht="15" customHeight="1" x14ac:dyDescent="0.3">
      <c r="B46" s="141" t="s">
        <v>91</v>
      </c>
      <c r="C46" s="142"/>
      <c r="D46" s="142"/>
      <c r="E46" s="143"/>
      <c r="F46" s="27"/>
      <c r="G46" s="9"/>
      <c r="H46" s="41">
        <f>SUM(H38:H45)</f>
        <v>12.239748244977003</v>
      </c>
      <c r="J46" s="153" t="s">
        <v>92</v>
      </c>
      <c r="K46" s="153"/>
      <c r="L46" s="153"/>
      <c r="M46" s="153"/>
      <c r="N46" s="153"/>
      <c r="O46" s="99">
        <f>H22</f>
        <v>5000</v>
      </c>
      <c r="P46" s="58">
        <f t="shared" si="0"/>
        <v>3.9804338915752746E-2</v>
      </c>
      <c r="Q46" s="58">
        <f t="shared" si="1"/>
        <v>0.19902169457876373</v>
      </c>
      <c r="R46" s="3"/>
      <c r="S46" s="3"/>
      <c r="T46" s="3"/>
      <c r="U46" s="3"/>
      <c r="V46" s="3"/>
      <c r="X46" t="s">
        <v>93</v>
      </c>
      <c r="Y46" s="30">
        <v>0.11002795027521339</v>
      </c>
      <c r="Z46" s="30">
        <v>0.11841599136629399</v>
      </c>
      <c r="AA46" s="30">
        <v>0.14050916740960107</v>
      </c>
      <c r="AB46" s="30">
        <v>0.11248346336634607</v>
      </c>
      <c r="AC46" s="30">
        <v>0.12469667468357742</v>
      </c>
      <c r="AD46" s="30">
        <v>0.14581817109105091</v>
      </c>
    </row>
    <row r="47" spans="2:31" ht="15" customHeight="1" x14ac:dyDescent="0.3">
      <c r="E47" s="68"/>
      <c r="F47" s="111"/>
      <c r="G47" s="69"/>
      <c r="J47" s="153" t="s">
        <v>94</v>
      </c>
      <c r="K47" s="153"/>
      <c r="L47" s="153"/>
      <c r="M47" s="153"/>
      <c r="N47" s="153"/>
      <c r="O47" s="99">
        <f>H21</f>
        <v>3000</v>
      </c>
      <c r="P47" s="58">
        <f t="shared" si="0"/>
        <v>0.16115925993539515</v>
      </c>
      <c r="Q47" s="58">
        <f t="shared" si="1"/>
        <v>0.48347777980618545</v>
      </c>
      <c r="R47" s="3"/>
      <c r="S47" s="3"/>
      <c r="T47" s="3"/>
      <c r="U47" s="3"/>
      <c r="V47" s="3"/>
      <c r="X47" t="s">
        <v>95</v>
      </c>
      <c r="Y47" s="30">
        <v>5.4919338675234686E-2</v>
      </c>
      <c r="Z47" s="30">
        <v>4.970048602575472E-2</v>
      </c>
      <c r="AA47" s="30">
        <v>4.7112922352956887E-2</v>
      </c>
      <c r="AB47" s="30">
        <v>5.6722001193823923E-2</v>
      </c>
      <c r="AC47" s="30">
        <v>5.2530353108128813E-2</v>
      </c>
      <c r="AD47" s="30">
        <v>4.8606057030350286E-2</v>
      </c>
    </row>
    <row r="48" spans="2:31" ht="15" customHeight="1" x14ac:dyDescent="0.3">
      <c r="E48" s="68"/>
      <c r="F48" s="111"/>
      <c r="G48" s="69"/>
      <c r="J48" s="153" t="s">
        <v>96</v>
      </c>
      <c r="K48" s="153"/>
      <c r="L48" s="153"/>
      <c r="M48" s="153"/>
      <c r="N48" s="153"/>
      <c r="O48" s="99">
        <f>H23</f>
        <v>0</v>
      </c>
      <c r="P48" s="58">
        <f>IF(AND(H$5="MZ-VAV",O$38&gt;10000),Y52,IF(AND(H$5="MZ-VAV",O$38&lt;=10000,O$38&gt;5000),Z52,IF(H$5="MZ-VAV",AA52,IF(O$38&gt;10000,AB52,IF(AND(O$38&lt;=10000,O$38&gt;5000),AC52,AD52)))))</f>
        <v>3.9804338915752746E-2</v>
      </c>
      <c r="Q48" s="58">
        <f t="shared" si="1"/>
        <v>0</v>
      </c>
      <c r="R48" s="3"/>
      <c r="S48" s="3"/>
      <c r="T48" s="3"/>
      <c r="U48" s="3"/>
      <c r="V48" s="3"/>
      <c r="X48" t="s">
        <v>97</v>
      </c>
      <c r="Y48" s="30">
        <v>7.3260688213430791E-2</v>
      </c>
      <c r="Z48" s="30">
        <v>5.9575714976953242E-2</v>
      </c>
      <c r="AA48" s="30">
        <v>7.0564149803406695E-2</v>
      </c>
      <c r="AB48" s="30">
        <v>7.5394943815769111E-2</v>
      </c>
      <c r="AC48" s="30">
        <v>6.2933824902511093E-2</v>
      </c>
      <c r="AD48" s="30">
        <v>6.0757571287937878E-2</v>
      </c>
    </row>
    <row r="49" spans="2:30" ht="15" customHeight="1" x14ac:dyDescent="0.3">
      <c r="E49" s="173"/>
      <c r="F49" s="175" t="s">
        <v>102</v>
      </c>
      <c r="G49" s="171" t="s">
        <v>198</v>
      </c>
      <c r="J49" s="153" t="s">
        <v>98</v>
      </c>
      <c r="K49" s="153"/>
      <c r="L49" s="153"/>
      <c r="M49" s="153"/>
      <c r="N49" s="153"/>
      <c r="O49" s="99">
        <f>H24</f>
        <v>0</v>
      </c>
      <c r="P49" s="58">
        <f>IF(AND(H$5="MZ-VAV",O$38&gt;10000),Y53,IF(AND(H$5="MZ-VAV",O$38&lt;=10000,O$38&gt;5000),Z53,IF(H$5="MZ-VAV",AA53,IF(O$38&gt;10000,AB53,IF(AND(O$38&lt;=10000,O$38&gt;5000),AC53,AD53)))))</f>
        <v>0</v>
      </c>
      <c r="Q49" s="58">
        <f t="shared" si="1"/>
        <v>0</v>
      </c>
      <c r="R49" s="3"/>
      <c r="S49" s="3"/>
      <c r="T49" s="3"/>
      <c r="U49" s="3"/>
      <c r="V49" s="3"/>
      <c r="X49" t="s">
        <v>99</v>
      </c>
      <c r="Y49" s="30">
        <v>3.6599443526147635E-2</v>
      </c>
      <c r="Z49" s="30">
        <v>3.9804338915752746E-2</v>
      </c>
      <c r="AA49" s="30">
        <v>4.7112922352956887E-2</v>
      </c>
      <c r="AB49" s="30">
        <v>3.7943122962558362E-2</v>
      </c>
      <c r="AC49" s="30">
        <v>4.2093671181094416E-2</v>
      </c>
      <c r="AD49" s="30">
        <v>4.8606057030350286E-2</v>
      </c>
    </row>
    <row r="50" spans="2:30" ht="15" customHeight="1" x14ac:dyDescent="0.3">
      <c r="B50" s="46" t="s">
        <v>203</v>
      </c>
      <c r="E50" s="173"/>
      <c r="F50" s="175"/>
      <c r="G50" s="171"/>
      <c r="N50" s="112"/>
      <c r="P50" s="112" t="s">
        <v>100</v>
      </c>
      <c r="Q50" s="58">
        <f>SUM(Q38:Q49)</f>
        <v>6.4739192165200823</v>
      </c>
      <c r="R50" s="3"/>
      <c r="S50" s="3"/>
      <c r="T50" s="3"/>
      <c r="U50" s="3"/>
      <c r="V50" s="3"/>
      <c r="X50" t="s">
        <v>101</v>
      </c>
      <c r="Y50" s="30">
        <v>3.6599443526147635E-2</v>
      </c>
      <c r="Z50" s="30">
        <v>3.9804338915752746E-2</v>
      </c>
      <c r="AA50" s="30">
        <v>4.7112922352956887E-2</v>
      </c>
      <c r="AB50" s="30">
        <v>3.7943122962558362E-2</v>
      </c>
      <c r="AC50" s="30">
        <v>4.2093671181094416E-2</v>
      </c>
      <c r="AD50" s="30">
        <v>4.8606057030350286E-2</v>
      </c>
    </row>
    <row r="51" spans="2:30" ht="15" customHeight="1" x14ac:dyDescent="0.3">
      <c r="E51" s="174"/>
      <c r="F51" s="176"/>
      <c r="G51" s="172"/>
      <c r="R51" s="3"/>
      <c r="S51" s="3"/>
      <c r="T51" s="3"/>
      <c r="U51" s="3"/>
      <c r="V51" s="3"/>
      <c r="X51" t="s">
        <v>103</v>
      </c>
      <c r="Y51" s="30">
        <v>0.15063497043753737</v>
      </c>
      <c r="Z51" s="30">
        <v>0.16115925993539515</v>
      </c>
      <c r="AA51" s="30">
        <v>0.19142434786833451</v>
      </c>
      <c r="AB51" s="30">
        <v>0.15299240099749306</v>
      </c>
      <c r="AC51" s="30">
        <v>0.16933058830993714</v>
      </c>
      <c r="AD51" s="30">
        <v>0.19825339044193654</v>
      </c>
    </row>
    <row r="52" spans="2:30" ht="15" customHeight="1" x14ac:dyDescent="0.3">
      <c r="B52" s="138" t="s">
        <v>104</v>
      </c>
      <c r="C52" s="139"/>
      <c r="D52" s="139"/>
      <c r="E52" s="140"/>
      <c r="F52" s="116" t="s">
        <v>45</v>
      </c>
      <c r="G52" s="116" t="s">
        <v>38</v>
      </c>
      <c r="J52" s="153" t="s">
        <v>105</v>
      </c>
      <c r="K52" s="153"/>
      <c r="L52" s="153"/>
      <c r="M52" s="153"/>
      <c r="N52" s="153"/>
      <c r="O52" s="57">
        <f>I10</f>
        <v>7600</v>
      </c>
      <c r="P52" s="58">
        <f>IF(AND(H$5="MZ-VAV",O$52&gt;10000),Y56,IF(AND(H$5="MZ-VAV",O$52&lt;=10000,O$52&gt;5000),Z56,IF(H$5="MZ-VAV",AA56,IF(O$52&gt;10000,AB56,IF(AND(O$52&lt;=10000,O$52&gt;5000),AC56,AD56)))))</f>
        <v>0.25638049206396912</v>
      </c>
      <c r="Q52" s="58">
        <f t="shared" ref="Q52:Q54" si="3">O52*P52/1000</f>
        <v>1.9484917396861654</v>
      </c>
      <c r="R52" s="3"/>
      <c r="S52" s="3"/>
      <c r="T52" s="3"/>
      <c r="U52" s="3"/>
      <c r="V52" s="3"/>
      <c r="X52" t="s">
        <v>106</v>
      </c>
      <c r="Y52" s="30">
        <v>3.6599443526147635E-2</v>
      </c>
      <c r="Z52" s="30">
        <v>3.9804338915752746E-2</v>
      </c>
      <c r="AA52" s="30">
        <v>4.7112922352956887E-2</v>
      </c>
      <c r="AB52" s="30">
        <v>3.7943122962558362E-2</v>
      </c>
      <c r="AC52" s="30">
        <v>4.2093671181094416E-2</v>
      </c>
      <c r="AD52" s="30">
        <v>4.8606057030350286E-2</v>
      </c>
    </row>
    <row r="53" spans="2:30" ht="15" customHeight="1" x14ac:dyDescent="0.3">
      <c r="B53" s="138" t="s">
        <v>107</v>
      </c>
      <c r="C53" s="139"/>
      <c r="D53" s="139"/>
      <c r="E53" s="140"/>
      <c r="F53" s="45" cm="1">
        <f t="array" ref="F53">INDEX($S$83:$S$107,MATCH(TRUE,$S$83:$S$107&gt;=F54,0)+IF(F52=$X$84,1,IF(F52=X$85,2,0)))</f>
        <v>15</v>
      </c>
      <c r="G53" s="45" cm="1">
        <f t="array" ref="G53">INDEX($S$83:$S$107,MATCH(TRUE,$S$83:$S$107&gt;=G54,0)+IF(G52=$X$84,1,IF(G52=X$85,2,0)))</f>
        <v>3</v>
      </c>
      <c r="J53" s="153" t="s">
        <v>108</v>
      </c>
      <c r="K53" s="153"/>
      <c r="L53" s="153"/>
      <c r="M53" s="153"/>
      <c r="N53" s="153"/>
      <c r="O53" s="57">
        <f>I25</f>
        <v>7600</v>
      </c>
      <c r="P53" s="58">
        <f>IF(AND(H$5="MZ-VAV",O$52&gt;10000),Y57,IF(AND(H$5="MZ-VAV",O$52&lt;=10000,O$52&gt;5000),Z57,IF(H$5="MZ-VAV",AA57,IF(O$52&gt;10000,AB57,IF(AND(O$52&lt;=10000,O$52&gt;5000),AC57,AD57)))))</f>
        <v>4.223702834128551E-2</v>
      </c>
      <c r="Q53" s="58">
        <f t="shared" si="3"/>
        <v>0.32100141539376986</v>
      </c>
      <c r="R53" s="3"/>
      <c r="S53" s="3"/>
      <c r="T53" s="3"/>
      <c r="U53" s="3"/>
      <c r="V53" s="3"/>
      <c r="X53" t="s">
        <v>109</v>
      </c>
      <c r="Y53" s="30">
        <v>0</v>
      </c>
      <c r="Z53" s="30">
        <v>0</v>
      </c>
      <c r="AA53" s="30">
        <v>0</v>
      </c>
      <c r="AB53" s="30">
        <v>9.3977336369995002E-2</v>
      </c>
      <c r="AC53" s="30">
        <v>0.10422981466087722</v>
      </c>
      <c r="AD53" s="30">
        <v>7.2909085545525415E-2</v>
      </c>
    </row>
    <row r="54" spans="2:30" ht="15" customHeight="1" x14ac:dyDescent="0.3">
      <c r="B54" s="138" t="s">
        <v>110</v>
      </c>
      <c r="C54" s="139"/>
      <c r="D54" s="139"/>
      <c r="E54" s="140"/>
      <c r="F54" s="42">
        <f>H46-H11*H46</f>
        <v>9.7917985959816018</v>
      </c>
      <c r="G54" s="42">
        <f>H46-F54</f>
        <v>2.4479496489954009</v>
      </c>
      <c r="J54" s="153" t="s">
        <v>111</v>
      </c>
      <c r="K54" s="153"/>
      <c r="L54" s="153"/>
      <c r="M54" s="153"/>
      <c r="N54" s="153"/>
      <c r="O54" s="57">
        <f>I21</f>
        <v>2600</v>
      </c>
      <c r="P54" s="58">
        <f>IF(AND(H$5="MZ-VAV",O$52&gt;10000),Y58,IF(AND(H$5="MZ-VAV",O$52&lt;=10000,O$52&gt;5000),Z58,IF(H$5="MZ-VAV",AA58,IF(O$52&gt;10000,AB58,IF(AND(O$52&lt;=10000,O$52&gt;5000),AC58,AD58)))))</f>
        <v>0.16984605045288526</v>
      </c>
      <c r="Q54" s="58">
        <f t="shared" si="3"/>
        <v>0.44159973117750168</v>
      </c>
      <c r="R54" s="3"/>
      <c r="S54" s="3"/>
      <c r="T54" s="3"/>
      <c r="U54" s="3"/>
      <c r="V54" s="3"/>
      <c r="Y54" s="30"/>
      <c r="Z54" s="30"/>
      <c r="AA54" s="30"/>
      <c r="AB54" s="30"/>
      <c r="AC54" s="30"/>
      <c r="AD54" s="30"/>
    </row>
    <row r="55" spans="2:30" ht="15" customHeight="1" x14ac:dyDescent="0.3">
      <c r="B55" s="138" t="s">
        <v>112</v>
      </c>
      <c r="C55" s="139"/>
      <c r="D55" s="139"/>
      <c r="E55" s="140"/>
      <c r="F55" s="52" t="s">
        <v>113</v>
      </c>
      <c r="G55" s="53" t="s">
        <v>113</v>
      </c>
      <c r="P55" s="112" t="s">
        <v>199</v>
      </c>
      <c r="Q55" s="58">
        <f>SUM(Q52:Q54)</f>
        <v>2.7110928862574371</v>
      </c>
      <c r="T55" s="30"/>
      <c r="U55" s="30"/>
      <c r="V55" s="30"/>
      <c r="W55" s="30"/>
      <c r="X55" s="30"/>
      <c r="Y55" s="30"/>
    </row>
    <row r="56" spans="2:30" ht="15" customHeight="1" x14ac:dyDescent="0.3">
      <c r="B56" s="138" t="s">
        <v>115</v>
      </c>
      <c r="C56" s="139"/>
      <c r="D56" s="139"/>
      <c r="E56" s="140"/>
      <c r="F56" s="67">
        <v>4</v>
      </c>
      <c r="G56" s="67">
        <v>4</v>
      </c>
      <c r="R56" s="3"/>
      <c r="S56" s="3"/>
      <c r="T56" s="3"/>
      <c r="U56" s="3"/>
      <c r="V56" s="3"/>
      <c r="W56" s="3"/>
      <c r="X56" t="s">
        <v>116</v>
      </c>
      <c r="Y56" s="30">
        <v>0.24829908242469739</v>
      </c>
      <c r="Z56" s="30">
        <v>0.25638049206396912</v>
      </c>
      <c r="AA56" s="30">
        <v>0.23087877089416395</v>
      </c>
      <c r="AB56" s="30">
        <v>0.19995070684515945</v>
      </c>
      <c r="AC56" s="30">
        <v>0.19187363677673422</v>
      </c>
      <c r="AD56" s="30">
        <v>0.19442422812140123</v>
      </c>
    </row>
    <row r="57" spans="2:30" ht="15" customHeight="1" x14ac:dyDescent="0.3">
      <c r="B57" s="138" t="s">
        <v>117</v>
      </c>
      <c r="C57" s="139"/>
      <c r="D57" s="139"/>
      <c r="E57" s="140"/>
      <c r="F57" s="54">
        <f>N100</f>
        <v>0.89585523452940963</v>
      </c>
      <c r="G57" s="54">
        <f>IF(G53&gt;1,N121,"N/A")</f>
        <v>0.81398304224841833</v>
      </c>
      <c r="J57" s="153" t="s">
        <v>118</v>
      </c>
      <c r="K57" s="153"/>
      <c r="L57" s="153"/>
      <c r="M57" s="153"/>
      <c r="N57" s="153"/>
      <c r="O57" s="153"/>
      <c r="P57" s="153"/>
      <c r="Q57" s="90">
        <f>Q50+Q55</f>
        <v>9.1850121027775202</v>
      </c>
      <c r="R57" s="3"/>
      <c r="S57" s="3"/>
      <c r="T57" s="3"/>
      <c r="U57" s="3"/>
      <c r="V57" s="3"/>
      <c r="W57" s="3"/>
      <c r="X57" t="s">
        <v>119</v>
      </c>
      <c r="Y57" s="30">
        <v>3.7943122962558362E-2</v>
      </c>
      <c r="Z57" s="30">
        <v>4.223702834128551E-2</v>
      </c>
      <c r="AA57" s="30">
        <v>4.860605703035023E-2</v>
      </c>
      <c r="AB57" s="30">
        <v>3.8768919240608907E-2</v>
      </c>
      <c r="AC57" s="30">
        <v>4.3164661719191783E-2</v>
      </c>
      <c r="AD57" s="30">
        <v>4.8606057030350314E-2</v>
      </c>
    </row>
    <row r="58" spans="2:30" ht="15" customHeight="1" x14ac:dyDescent="0.3">
      <c r="B58" s="138" t="s">
        <v>120</v>
      </c>
      <c r="C58" s="139"/>
      <c r="D58" s="139"/>
      <c r="E58" s="140"/>
      <c r="F58" s="41">
        <f>M100</f>
        <v>8.1505849735410294</v>
      </c>
      <c r="G58" s="41">
        <f>IF(I10&gt;1,M121,0)</f>
        <v>2.2425971531465496</v>
      </c>
      <c r="J58" s="153" t="s">
        <v>121</v>
      </c>
      <c r="K58" s="153"/>
      <c r="L58" s="153"/>
      <c r="M58" s="153"/>
      <c r="N58" s="153"/>
      <c r="O58" s="153"/>
      <c r="P58" s="153"/>
      <c r="Q58" s="90">
        <f>F58+G58</f>
        <v>10.393182126687579</v>
      </c>
      <c r="R58" s="3"/>
      <c r="S58" s="3"/>
      <c r="T58" s="3"/>
      <c r="U58" s="3"/>
      <c r="V58" s="3"/>
      <c r="W58" s="3"/>
      <c r="X58" t="s">
        <v>103</v>
      </c>
      <c r="Y58" s="30">
        <v>0.15299240099749306</v>
      </c>
      <c r="Z58" s="30">
        <v>0.16984605045288526</v>
      </c>
      <c r="AA58" s="30">
        <v>0.19862498403696757</v>
      </c>
      <c r="AB58" s="30">
        <v>0.15528720077088912</v>
      </c>
      <c r="AC58" s="30">
        <v>0.17318764075960427</v>
      </c>
      <c r="AD58" s="30">
        <v>0.19928483382443626</v>
      </c>
    </row>
    <row r="59" spans="2:30" ht="15" customHeight="1" x14ac:dyDescent="0.3">
      <c r="B59" s="138" t="s">
        <v>122</v>
      </c>
      <c r="C59" s="139"/>
      <c r="D59" s="139"/>
      <c r="E59" s="140"/>
      <c r="F59" s="55">
        <f>(F58*1000)/H10</f>
        <v>1.0188231216926287</v>
      </c>
      <c r="G59" s="55">
        <f>IF(I10&gt;1,(G58*1000)/I10,0)</f>
        <v>0.29507857278244076</v>
      </c>
      <c r="J59" s="153" t="s">
        <v>123</v>
      </c>
      <c r="K59" s="153"/>
      <c r="L59" s="153"/>
      <c r="M59" s="153"/>
      <c r="N59" s="153"/>
      <c r="O59" s="153"/>
      <c r="P59" s="153"/>
      <c r="Q59" s="91">
        <f>1-(Q57/Q58)</f>
        <v>0.11624640164899291</v>
      </c>
    </row>
    <row r="64" spans="2:30" x14ac:dyDescent="0.3">
      <c r="Y64" s="48"/>
    </row>
    <row r="65" spans="5:30" x14ac:dyDescent="0.3">
      <c r="Y65" s="30"/>
      <c r="Z65" s="30"/>
      <c r="AA65" s="30"/>
      <c r="AB65" s="30"/>
      <c r="AC65" s="30"/>
      <c r="AD65" s="30"/>
    </row>
    <row r="66" spans="5:30" ht="14.4" customHeight="1" x14ac:dyDescent="0.3">
      <c r="Y66" s="30"/>
      <c r="Z66" s="30"/>
      <c r="AA66" s="30"/>
      <c r="AB66" s="30"/>
      <c r="AC66" s="30"/>
      <c r="AD66" s="30"/>
    </row>
    <row r="67" spans="5:30" x14ac:dyDescent="0.3">
      <c r="Y67" s="30"/>
      <c r="Z67" s="30"/>
      <c r="AA67" s="30"/>
      <c r="AB67" s="30"/>
      <c r="AC67" s="30"/>
      <c r="AD67" s="30"/>
    </row>
    <row r="68" spans="5:30" x14ac:dyDescent="0.3">
      <c r="Y68" s="30"/>
      <c r="Z68" s="30"/>
      <c r="AA68" s="30"/>
      <c r="AB68" s="30"/>
      <c r="AC68" s="30"/>
      <c r="AD68" s="30"/>
    </row>
    <row r="69" spans="5:30" x14ac:dyDescent="0.3">
      <c r="Y69" s="30"/>
      <c r="Z69" s="30"/>
      <c r="AA69" s="30"/>
      <c r="AB69" s="30"/>
      <c r="AC69" s="30"/>
      <c r="AD69" s="30"/>
    </row>
    <row r="70" spans="5:30" x14ac:dyDescent="0.3">
      <c r="Y70" s="30"/>
      <c r="Z70" s="30"/>
      <c r="AA70" s="30"/>
      <c r="AB70" s="30"/>
      <c r="AC70" s="30"/>
      <c r="AD70" s="30"/>
    </row>
    <row r="71" spans="5:30" x14ac:dyDescent="0.3">
      <c r="Y71" s="30"/>
      <c r="Z71" s="30"/>
      <c r="AA71" s="30"/>
      <c r="AB71" s="30"/>
      <c r="AC71" s="30"/>
      <c r="AD71" s="30"/>
    </row>
    <row r="74" spans="5:30" x14ac:dyDescent="0.3">
      <c r="E74" s="56"/>
    </row>
    <row r="75" spans="5:30" x14ac:dyDescent="0.3">
      <c r="E75" s="47"/>
    </row>
    <row r="76" spans="5:30" x14ac:dyDescent="0.3">
      <c r="E76" s="47"/>
    </row>
    <row r="77" spans="5:30" x14ac:dyDescent="0.3">
      <c r="E77" s="47"/>
    </row>
    <row r="78" spans="5:30" x14ac:dyDescent="0.3">
      <c r="E78" s="47"/>
    </row>
    <row r="79" spans="5:30" x14ac:dyDescent="0.3">
      <c r="E79" s="47"/>
    </row>
    <row r="80" spans="5:30" x14ac:dyDescent="0.3">
      <c r="E80" s="47"/>
    </row>
    <row r="81" spans="3:25" x14ac:dyDescent="0.3">
      <c r="C81" s="46" t="s">
        <v>124</v>
      </c>
      <c r="E81" s="47"/>
      <c r="U81" s="46" t="s">
        <v>125</v>
      </c>
    </row>
    <row r="82" spans="3:25" ht="43.8" x14ac:dyDescent="0.35">
      <c r="E82" s="4" t="s">
        <v>126</v>
      </c>
      <c r="F82" s="4"/>
      <c r="G82" s="4"/>
      <c r="H82" s="4"/>
      <c r="I82" s="4"/>
      <c r="J82" s="4"/>
      <c r="K82" s="4"/>
      <c r="L82" s="4"/>
      <c r="M82" s="88"/>
      <c r="N82" s="105" t="s">
        <v>127</v>
      </c>
      <c r="O82" s="105" t="s">
        <v>128</v>
      </c>
      <c r="P82" s="105" t="s">
        <v>129</v>
      </c>
      <c r="Q82" s="105" t="s">
        <v>130</v>
      </c>
      <c r="R82" s="105" t="s">
        <v>131</v>
      </c>
      <c r="S82" s="105" t="s">
        <v>132</v>
      </c>
      <c r="T82" s="105" t="s">
        <v>133</v>
      </c>
      <c r="U82" s="5" t="s">
        <v>134</v>
      </c>
      <c r="V82" s="5" t="s">
        <v>135</v>
      </c>
      <c r="W82" s="5" t="s">
        <v>136</v>
      </c>
      <c r="X82" s="5" t="s">
        <v>137</v>
      </c>
      <c r="Y82" s="5" t="s">
        <v>138</v>
      </c>
    </row>
    <row r="83" spans="3:25" x14ac:dyDescent="0.3">
      <c r="E83" s="148" t="s">
        <v>113</v>
      </c>
      <c r="F83" s="149"/>
      <c r="G83" s="149"/>
      <c r="H83" s="150"/>
      <c r="I83" s="92" t="s">
        <v>139</v>
      </c>
      <c r="J83" s="93"/>
      <c r="K83" s="93"/>
      <c r="L83" s="94"/>
      <c r="N83" s="112">
        <v>460</v>
      </c>
      <c r="O83" s="112" t="s">
        <v>113</v>
      </c>
      <c r="P83" s="112" t="s">
        <v>140</v>
      </c>
      <c r="Q83" s="112">
        <v>2</v>
      </c>
      <c r="R83" s="112">
        <v>0</v>
      </c>
      <c r="S83" s="112">
        <v>1</v>
      </c>
      <c r="T83">
        <v>2</v>
      </c>
      <c r="U83" t="s">
        <v>141</v>
      </c>
      <c r="V83" t="s">
        <v>142</v>
      </c>
      <c r="W83" t="s">
        <v>21</v>
      </c>
      <c r="X83" t="s">
        <v>38</v>
      </c>
      <c r="Y83" t="s">
        <v>43</v>
      </c>
    </row>
    <row r="84" spans="3:25" x14ac:dyDescent="0.3">
      <c r="C84" s="6"/>
      <c r="D84" s="33" t="s">
        <v>143</v>
      </c>
      <c r="E84" s="108" t="s">
        <v>144</v>
      </c>
      <c r="F84" s="108" t="s">
        <v>145</v>
      </c>
      <c r="G84" s="108" t="s">
        <v>146</v>
      </c>
      <c r="H84" s="108" t="s">
        <v>147</v>
      </c>
      <c r="I84" s="108" t="s">
        <v>144</v>
      </c>
      <c r="J84" s="108" t="s">
        <v>145</v>
      </c>
      <c r="K84" s="108" t="s">
        <v>146</v>
      </c>
      <c r="L84" s="108" t="s">
        <v>148</v>
      </c>
      <c r="N84" s="112">
        <v>230</v>
      </c>
      <c r="O84" s="112" t="s">
        <v>139</v>
      </c>
      <c r="P84" s="112" t="s">
        <v>40</v>
      </c>
      <c r="Q84" s="112">
        <v>4</v>
      </c>
      <c r="R84" s="112">
        <v>1</v>
      </c>
      <c r="S84" s="112">
        <v>1.5</v>
      </c>
      <c r="T84">
        <v>4</v>
      </c>
      <c r="U84" t="s">
        <v>149</v>
      </c>
      <c r="V84" t="s">
        <v>150</v>
      </c>
      <c r="W84" t="s">
        <v>22</v>
      </c>
      <c r="X84" t="s">
        <v>45</v>
      </c>
      <c r="Y84" t="s">
        <v>151</v>
      </c>
    </row>
    <row r="85" spans="3:25" x14ac:dyDescent="0.3">
      <c r="C85" s="6"/>
      <c r="D85" s="7"/>
      <c r="E85" s="9">
        <f>VLOOKUP($D$87,constantsHP!$A$4:$I$28,2)/100</f>
        <v>0.90200000000000002</v>
      </c>
      <c r="F85" s="9">
        <f>VLOOKUP($D$87,constantsHP!$A$4:$I$28,3)/100</f>
        <v>0.93</v>
      </c>
      <c r="G85" s="9">
        <f>VLOOKUP($D$87,constantsHP!$A$4:$I$28,4)/100</f>
        <v>0.91700000000000004</v>
      </c>
      <c r="H85" s="9">
        <f>VLOOKUP($D$87,constantsHP!$A$4:$I$28,5)/100</f>
        <v>0.90200000000000002</v>
      </c>
      <c r="I85" s="9">
        <f>VLOOKUP($D$87,constantsHP!$A$4:$I$28,6)/100</f>
        <v>0.91</v>
      </c>
      <c r="J85" s="9">
        <f>VLOOKUP($D$87,constantsHP!$A$4:$I$28,7)/100</f>
        <v>0.92400000000000004</v>
      </c>
      <c r="K85" s="9">
        <f>VLOOKUP($D$87,constantsHP!$A$4:$I$28,8)/100</f>
        <v>0.91700000000000004</v>
      </c>
      <c r="L85" s="9">
        <f>VLOOKUP($D$87,constantsHP!$A$4:$I$28,9)/100</f>
        <v>0.875</v>
      </c>
      <c r="N85" s="112">
        <v>575</v>
      </c>
      <c r="O85" s="112"/>
      <c r="P85" s="112" t="s">
        <v>152</v>
      </c>
      <c r="Q85" s="112">
        <v>6</v>
      </c>
      <c r="R85" s="112">
        <v>2</v>
      </c>
      <c r="S85" s="112">
        <v>2</v>
      </c>
      <c r="T85">
        <v>6</v>
      </c>
      <c r="W85" t="s">
        <v>20</v>
      </c>
      <c r="X85" t="s">
        <v>200</v>
      </c>
      <c r="Y85" t="s">
        <v>153</v>
      </c>
    </row>
    <row r="86" spans="3:25" x14ac:dyDescent="0.3">
      <c r="C86" s="33" t="s">
        <v>154</v>
      </c>
      <c r="D86" s="7">
        <v>1</v>
      </c>
      <c r="N86" s="112">
        <v>208</v>
      </c>
      <c r="O86" s="112"/>
      <c r="P86" s="112" t="s">
        <v>155</v>
      </c>
      <c r="Q86" s="112">
        <v>8</v>
      </c>
      <c r="R86" s="112">
        <v>3</v>
      </c>
      <c r="S86" s="112">
        <v>3</v>
      </c>
      <c r="T86">
        <v>8</v>
      </c>
      <c r="Y86" t="s">
        <v>156</v>
      </c>
    </row>
    <row r="87" spans="3:25" x14ac:dyDescent="0.3">
      <c r="C87" s="33" t="s">
        <v>157</v>
      </c>
      <c r="D87" s="31">
        <f>F53</f>
        <v>15</v>
      </c>
      <c r="E87" s="151" t="s">
        <v>158</v>
      </c>
      <c r="F87" s="148" t="s">
        <v>159</v>
      </c>
      <c r="G87" s="150"/>
      <c r="H87" s="108" t="s">
        <v>160</v>
      </c>
      <c r="I87" s="108"/>
      <c r="J87" s="89" t="s">
        <v>161</v>
      </c>
      <c r="K87" s="89"/>
      <c r="N87" s="112"/>
      <c r="O87" s="112"/>
      <c r="P87" s="112"/>
      <c r="Q87" s="112"/>
      <c r="R87" s="112">
        <v>4</v>
      </c>
      <c r="S87" s="112">
        <v>5</v>
      </c>
    </row>
    <row r="88" spans="3:25" x14ac:dyDescent="0.3">
      <c r="C88" s="33" t="s">
        <v>162</v>
      </c>
      <c r="D88" s="31">
        <f>F54</f>
        <v>9.7917985959816018</v>
      </c>
      <c r="E88" s="152"/>
      <c r="F88" s="114" t="s">
        <v>163</v>
      </c>
      <c r="G88" s="114" t="s">
        <v>164</v>
      </c>
      <c r="H88" s="114" t="s">
        <v>163</v>
      </c>
      <c r="I88" s="114" t="s">
        <v>164</v>
      </c>
      <c r="J88" s="114" t="s">
        <v>163</v>
      </c>
      <c r="K88" s="114" t="s">
        <v>164</v>
      </c>
      <c r="N88" s="112"/>
      <c r="O88" s="112"/>
      <c r="P88" s="112"/>
      <c r="Q88" s="112"/>
      <c r="R88" s="112">
        <v>5</v>
      </c>
      <c r="S88" s="112">
        <v>7.5</v>
      </c>
    </row>
    <row r="89" spans="3:25" x14ac:dyDescent="0.3">
      <c r="C89" s="33" t="s">
        <v>165</v>
      </c>
      <c r="D89" s="35" t="str">
        <f>F55</f>
        <v>ODP</v>
      </c>
      <c r="E89" s="10" t="s">
        <v>166</v>
      </c>
      <c r="F89" s="9">
        <f>VLOOKUP($D$87,constantsHP!$K$4:$Q$28,2)</f>
        <v>1.0303500000000001</v>
      </c>
      <c r="G89" s="9">
        <f>VLOOKUP($D$87,constantsHP!$K$4:$Q$28,3)</f>
        <v>6.4099999999999999E-3</v>
      </c>
      <c r="H89" s="9">
        <f>VLOOKUP($D$87,constantsHP!$K$4:$Q$28,4)</f>
        <v>1.03443</v>
      </c>
      <c r="I89" s="9">
        <f>VLOOKUP($D$87,constantsHP!$K$4:$Q$28,5)</f>
        <v>9.9600000000000001E-3</v>
      </c>
      <c r="J89" s="9">
        <f>VLOOKUP($D$87,constantsHP!$K$4:$Q$28,6)</f>
        <v>1.0358799999999999</v>
      </c>
      <c r="K89" s="9">
        <f>VLOOKUP($D$87,constantsHP!$K$4:$Q$28,7)</f>
        <v>1.1209999999999999E-2</v>
      </c>
      <c r="N89" s="112"/>
      <c r="O89" s="112"/>
      <c r="P89" s="112"/>
      <c r="Q89" s="112"/>
      <c r="R89" s="112">
        <v>6</v>
      </c>
      <c r="S89" s="112">
        <v>10</v>
      </c>
    </row>
    <row r="90" spans="3:25" x14ac:dyDescent="0.3">
      <c r="C90" s="33"/>
      <c r="D90" s="7"/>
      <c r="E90" s="10" t="s">
        <v>167</v>
      </c>
      <c r="F90" s="9">
        <f>VLOOKUP($D$87,constantsHP!$Z$4:$AF$28,2)</f>
        <v>1.0781099999999999</v>
      </c>
      <c r="G90" s="9">
        <f>VLOOKUP($D$87,constantsHP!$Z$4:$AF$28,3)</f>
        <v>3.3680000000000002E-2</v>
      </c>
      <c r="H90" s="9">
        <f>VLOOKUP($D$87,constantsHP!$Z$4:$AF$28,4)</f>
        <v>1.0712699999999999</v>
      </c>
      <c r="I90" s="9">
        <f>VLOOKUP($D$87,constantsHP!$Z$4:$AF$28,5)</f>
        <v>2.9530000000000001E-2</v>
      </c>
      <c r="J90" s="9">
        <f>VLOOKUP($D$87,constantsHP!$Z$4:$AF$28,6)</f>
        <v>1.0716300000000001</v>
      </c>
      <c r="K90" s="9">
        <f>VLOOKUP($D$87,constantsHP!$Z$4:$AF$28,7)</f>
        <v>3.1040000000000002E-2</v>
      </c>
      <c r="N90" s="112"/>
      <c r="O90" s="112"/>
      <c r="P90" s="112"/>
      <c r="Q90" s="112"/>
      <c r="R90" s="112">
        <v>7</v>
      </c>
      <c r="S90" s="112">
        <v>15</v>
      </c>
    </row>
    <row r="91" spans="3:25" x14ac:dyDescent="0.3">
      <c r="C91" s="33" t="s">
        <v>168</v>
      </c>
      <c r="D91" s="31">
        <f>F56</f>
        <v>4</v>
      </c>
      <c r="E91" s="6"/>
      <c r="N91" s="112"/>
      <c r="O91" s="112"/>
      <c r="P91" s="112"/>
      <c r="Q91" s="112"/>
      <c r="R91" s="112">
        <v>8</v>
      </c>
      <c r="S91" s="112">
        <v>20</v>
      </c>
    </row>
    <row r="92" spans="3:25" x14ac:dyDescent="0.3">
      <c r="C92" s="33" t="s">
        <v>169</v>
      </c>
      <c r="D92" s="7" t="str">
        <f>H9</f>
        <v>Direct</v>
      </c>
      <c r="E92" s="6"/>
      <c r="F92" s="6" t="s">
        <v>170</v>
      </c>
      <c r="G92" s="6"/>
      <c r="H92" s="6"/>
      <c r="I92" s="6"/>
      <c r="N92" s="112"/>
      <c r="O92" s="112"/>
      <c r="P92" s="112"/>
      <c r="Q92" s="112"/>
      <c r="R92" s="112">
        <v>9</v>
      </c>
      <c r="S92" s="112">
        <v>25</v>
      </c>
    </row>
    <row r="93" spans="3:25" x14ac:dyDescent="0.3">
      <c r="C93" s="33" t="s">
        <v>171</v>
      </c>
      <c r="D93" s="7">
        <f>IF(H8="no",0,1)</f>
        <v>1</v>
      </c>
      <c r="E93" s="10"/>
      <c r="F93" s="108" t="s">
        <v>141</v>
      </c>
      <c r="G93" s="108" t="s">
        <v>172</v>
      </c>
      <c r="H93" s="108" t="s">
        <v>173</v>
      </c>
      <c r="I93" s="108" t="s">
        <v>174</v>
      </c>
      <c r="N93" s="112"/>
      <c r="O93" s="112"/>
      <c r="P93" s="112"/>
      <c r="Q93" s="112"/>
      <c r="R93" s="112">
        <v>10</v>
      </c>
      <c r="S93" s="112">
        <v>30</v>
      </c>
    </row>
    <row r="94" spans="3:25" x14ac:dyDescent="0.3">
      <c r="C94" s="33" t="s">
        <v>175</v>
      </c>
      <c r="D94" s="31">
        <f>D87</f>
        <v>15</v>
      </c>
      <c r="E94" s="10" t="s">
        <v>176</v>
      </c>
      <c r="F94" s="9">
        <f>VLOOKUP($D$94,constantsHP!$S$4:$X$28,3)</f>
        <v>15</v>
      </c>
      <c r="G94" s="9">
        <f>VLOOKUP($D$94,constantsHP!$S$4:$X$28,4)</f>
        <v>0.98185</v>
      </c>
      <c r="H94" s="9">
        <f>VLOOKUP($D$94,constantsHP!$S$4:$X$28,5)</f>
        <v>1.985E-2</v>
      </c>
      <c r="I94" s="9">
        <f>VLOOKUP($D$94,constantsHP!$S$4:$X$28,6)</f>
        <v>6.9999999999999999E-4</v>
      </c>
      <c r="N94" s="112"/>
      <c r="O94" s="112"/>
      <c r="P94" s="112"/>
      <c r="Q94" s="112"/>
      <c r="R94" s="112">
        <v>11</v>
      </c>
      <c r="S94" s="112">
        <v>40</v>
      </c>
    </row>
    <row r="95" spans="3:25" x14ac:dyDescent="0.3">
      <c r="C95" s="6"/>
      <c r="D95" s="7"/>
      <c r="E95" s="10" t="s">
        <v>177</v>
      </c>
      <c r="F95" s="9">
        <f>VLOOKUP($D$94,constantsHP!$T$4:$X$28,2)</f>
        <v>20</v>
      </c>
      <c r="G95" s="9">
        <f>VLOOKUP($D$94,constantsHP!$T$4:$X$28,3)</f>
        <v>0.98499999999999999</v>
      </c>
      <c r="H95" s="9">
        <f>VLOOKUP($D$94,constantsHP!$T$4:$X$28,4)</f>
        <v>1.7500000000000002E-2</v>
      </c>
      <c r="I95" s="9">
        <f>VLOOKUP($D$94,constantsHP!$T$4:$X$28,5)</f>
        <v>-5.0000000000000001E-4</v>
      </c>
      <c r="N95" s="112"/>
      <c r="O95" s="112"/>
      <c r="P95" s="112"/>
      <c r="Q95" s="112"/>
      <c r="R95" s="112">
        <v>12</v>
      </c>
      <c r="S95" s="112">
        <v>50</v>
      </c>
    </row>
    <row r="96" spans="3:25" x14ac:dyDescent="0.3">
      <c r="C96" s="11"/>
      <c r="D96" s="7"/>
      <c r="E96" s="10" t="s">
        <v>178</v>
      </c>
      <c r="F96" s="9">
        <f>(D94-F94)/(F95-F94)</f>
        <v>0</v>
      </c>
      <c r="G96" s="9">
        <f>ROUND($F96*(G95-G94)+G94,5)</f>
        <v>0.98185</v>
      </c>
      <c r="H96" s="9">
        <f>ROUND($F96*(H95-H94)+H94,5)</f>
        <v>1.985E-2</v>
      </c>
      <c r="I96" s="9">
        <f>ROUND($F96*(I95-I94)+I94,5)</f>
        <v>6.9999999999999999E-4</v>
      </c>
      <c r="N96" s="112"/>
      <c r="O96" s="112"/>
      <c r="P96" s="112"/>
      <c r="Q96" s="112"/>
      <c r="R96" s="112">
        <v>13</v>
      </c>
      <c r="S96" s="112">
        <v>60</v>
      </c>
    </row>
    <row r="97" spans="1:19" x14ac:dyDescent="0.3">
      <c r="N97" s="112"/>
      <c r="O97" s="112"/>
      <c r="P97" s="112"/>
      <c r="Q97" s="112"/>
      <c r="R97" s="112">
        <v>14</v>
      </c>
      <c r="S97" s="112">
        <v>75</v>
      </c>
    </row>
    <row r="98" spans="1:19" x14ac:dyDescent="0.3">
      <c r="N98" s="112"/>
      <c r="O98" s="112"/>
      <c r="P98" s="112"/>
      <c r="Q98" s="112"/>
      <c r="R98" s="112">
        <v>15</v>
      </c>
      <c r="S98" s="112">
        <v>100</v>
      </c>
    </row>
    <row r="99" spans="1:19" ht="87.6" x14ac:dyDescent="0.35">
      <c r="A99" s="12" t="s">
        <v>179</v>
      </c>
      <c r="B99" s="12" t="s">
        <v>180</v>
      </c>
      <c r="C99" s="13" t="s">
        <v>181</v>
      </c>
      <c r="D99" s="14" t="s">
        <v>126</v>
      </c>
      <c r="E99" s="7" t="s">
        <v>182</v>
      </c>
      <c r="F99" s="7" t="s">
        <v>163</v>
      </c>
      <c r="G99" s="7" t="s">
        <v>164</v>
      </c>
      <c r="H99" s="7" t="s">
        <v>183</v>
      </c>
      <c r="I99" s="12" t="s">
        <v>184</v>
      </c>
      <c r="J99" s="14" t="s">
        <v>185</v>
      </c>
      <c r="K99" s="12" t="s">
        <v>186</v>
      </c>
      <c r="L99" s="12" t="s">
        <v>187</v>
      </c>
      <c r="M99" s="12" t="s">
        <v>188</v>
      </c>
      <c r="N99" s="12" t="s">
        <v>189</v>
      </c>
      <c r="O99" s="15"/>
      <c r="P99" s="16"/>
      <c r="R99">
        <v>16</v>
      </c>
      <c r="S99">
        <v>125</v>
      </c>
    </row>
    <row r="100" spans="1:19" x14ac:dyDescent="0.3">
      <c r="A100" s="2">
        <f>D88</f>
        <v>9.7917985959816018</v>
      </c>
      <c r="B100" s="23">
        <f>IF($D$92="Direct",1,IF($D$92="V-Belt",0.96*(A100/(A100+2.2))^0.05,IF($D$92="Coupling",0.98,IF(AND($D$92="Synchronous Belt",A100&lt;=1.34),0.94,IF(AND($D$92="Synchronous Belt",A100&gt;1.34,A100&lt;=6.7),0.00746*A100+0.93,0.98)))))</f>
        <v>1</v>
      </c>
      <c r="C100" s="23">
        <f>A100/B100</f>
        <v>9.7917985959816018</v>
      </c>
      <c r="D100" s="23">
        <f>IF(AND($D$89="ODP",$D$91=2),$E$85,IF(AND($D$89="ODP",$D$91=4),$F$85,IF(AND($D$89="ODP",$D$91=6),$G$85,IF(AND($D$89="ODP",$D$91=8),$H$85,IF(AND($D$89="TEFC",$D$91=2),$I$85,IF(AND($D$89="TEFC",$D$91=4),$J$85,IF(AND($D$89="TEFC",$D$91=6),$K$85,IF(AND($D$89="TEFC",$D$91=8),$L$85))))))))</f>
        <v>0.93</v>
      </c>
      <c r="E100" s="23">
        <f>C100/$D$87</f>
        <v>0.65278657306544008</v>
      </c>
      <c r="F100" s="23">
        <f>IF(AND($D$93&gt;0,$D$91=2),F$89,IF(AND($D$93=0,$D$91=2),F$90,IF(AND($D$93&gt;0,$D$91=4),H$89,IF(AND($D$93=0,$D$91=4),H$90,IF(AND($D$93&gt;0,OR($D$91=6,$D$91=8)),J$89,IF(AND($D$93=0,OR($D$91=6,$D$91=8)),J$90))))))</f>
        <v>1.03443</v>
      </c>
      <c r="G100" s="23">
        <f>IF(AND($D$93&gt;0,$D$91=2),G$89,IF(AND($D$93=0,$D$91=2),G$90,IF(AND($D$93&gt;0,$D$91=4),I$89,IF(AND($D$93=0,$D$91=4),I$90,IF(AND($D$93&gt;0,OR($D$91=6,$D$91=8)),K$89,IF(AND($D$93=0,OR($D$91=6,$D$91=8)),K$90))))))</f>
        <v>9.9600000000000001E-3</v>
      </c>
      <c r="H100" s="23">
        <f t="shared" ref="H100" si="4">1-(F100/(1+G100))</f>
        <v>-2.4228682324052508E-2</v>
      </c>
      <c r="I100" s="17">
        <f>D100*(((F100*E100)/(G100+E100))+H100*(E100^2))</f>
        <v>0.9379604544397433</v>
      </c>
      <c r="J100" s="18">
        <f>IF($D$93=0,0,($D$86/$D$93)*C100/(I100*$D$94))</f>
        <v>0.69596385431340868</v>
      </c>
      <c r="K100" s="19">
        <f>($G$96*J100/($H$96+J100))+(J100*$I$96)</f>
        <v>0.9551098133071253</v>
      </c>
      <c r="L100" s="20">
        <f>I100*K100</f>
        <v>0.89585523452940963</v>
      </c>
      <c r="M100" s="21">
        <f>IF(J100=0,C100*0.7457/I100,C100*0.7457/L100)</f>
        <v>8.1505849735410294</v>
      </c>
      <c r="N100" s="20">
        <f>IF(J100=0,B100*I100,B100*L100)</f>
        <v>0.89585523452940963</v>
      </c>
      <c r="R100">
        <v>17</v>
      </c>
      <c r="S100">
        <v>150</v>
      </c>
    </row>
    <row r="101" spans="1:19" x14ac:dyDescent="0.3">
      <c r="A101" s="2"/>
      <c r="B101" s="23"/>
      <c r="C101" s="23"/>
      <c r="D101" s="23"/>
      <c r="E101" s="23"/>
      <c r="F101" s="23"/>
      <c r="G101" s="23"/>
      <c r="H101" s="23"/>
      <c r="I101" s="17"/>
      <c r="J101" s="18"/>
      <c r="K101" s="19"/>
      <c r="L101" s="20"/>
      <c r="M101" s="21"/>
      <c r="N101" s="20"/>
      <c r="R101">
        <v>18</v>
      </c>
      <c r="S101">
        <v>200</v>
      </c>
    </row>
    <row r="102" spans="1:19" x14ac:dyDescent="0.3">
      <c r="A102" s="2"/>
      <c r="B102" s="23"/>
      <c r="C102" s="23"/>
      <c r="D102" s="23"/>
      <c r="E102" s="23"/>
      <c r="F102" s="23"/>
      <c r="G102" s="23"/>
      <c r="H102" s="23"/>
      <c r="I102" s="17"/>
      <c r="J102" s="18"/>
      <c r="K102" s="19"/>
      <c r="L102" s="20"/>
      <c r="M102" s="21"/>
      <c r="N102" s="20"/>
      <c r="R102">
        <v>19</v>
      </c>
      <c r="S102">
        <v>250</v>
      </c>
    </row>
    <row r="103" spans="1:19" ht="15.6" x14ac:dyDescent="0.35">
      <c r="E103" s="4" t="s">
        <v>126</v>
      </c>
      <c r="F103" s="4"/>
      <c r="G103" s="4"/>
      <c r="H103" s="4"/>
      <c r="I103" s="4"/>
      <c r="J103" s="4"/>
      <c r="K103" s="4"/>
      <c r="L103" s="4"/>
      <c r="M103" s="21"/>
      <c r="N103" s="20"/>
      <c r="R103">
        <v>20</v>
      </c>
      <c r="S103">
        <v>300</v>
      </c>
    </row>
    <row r="104" spans="1:19" x14ac:dyDescent="0.3">
      <c r="E104" s="148" t="s">
        <v>113</v>
      </c>
      <c r="F104" s="149"/>
      <c r="G104" s="149"/>
      <c r="H104" s="150"/>
      <c r="I104" s="89" t="s">
        <v>139</v>
      </c>
      <c r="J104" s="89"/>
      <c r="K104" s="89"/>
      <c r="L104" s="89"/>
      <c r="M104" s="21"/>
      <c r="N104" s="20"/>
      <c r="O104" s="19"/>
      <c r="P104" s="22"/>
      <c r="R104">
        <v>21</v>
      </c>
      <c r="S104">
        <v>350</v>
      </c>
    </row>
    <row r="105" spans="1:19" x14ac:dyDescent="0.3">
      <c r="C105" s="6"/>
      <c r="D105" s="33" t="s">
        <v>201</v>
      </c>
      <c r="E105" s="108" t="s">
        <v>144</v>
      </c>
      <c r="F105" s="108" t="s">
        <v>145</v>
      </c>
      <c r="G105" s="108" t="s">
        <v>146</v>
      </c>
      <c r="H105" s="108" t="s">
        <v>147</v>
      </c>
      <c r="I105" s="108" t="s">
        <v>144</v>
      </c>
      <c r="J105" s="108" t="s">
        <v>145</v>
      </c>
      <c r="K105" s="108" t="s">
        <v>146</v>
      </c>
      <c r="L105" s="108" t="s">
        <v>148</v>
      </c>
      <c r="M105" s="21"/>
      <c r="N105" s="20"/>
      <c r="R105">
        <v>22</v>
      </c>
      <c r="S105">
        <v>400</v>
      </c>
    </row>
    <row r="106" spans="1:19" x14ac:dyDescent="0.3">
      <c r="C106" s="6"/>
      <c r="D106" s="7"/>
      <c r="E106" s="9">
        <f>VLOOKUP($D$108,constantsHP!$A$4:$I$28,2)/100</f>
        <v>0.85499999999999998</v>
      </c>
      <c r="F106" s="9">
        <f>VLOOKUP($D$108,constantsHP!$A$4:$I$28,3)/100</f>
        <v>0.86900000000000011</v>
      </c>
      <c r="G106" s="9">
        <f>VLOOKUP($D$108,constantsHP!$A$4:$I$28,4)/100</f>
        <v>0.88500000000000001</v>
      </c>
      <c r="H106" s="9">
        <f>VLOOKUP($D$108,constantsHP!$A$4:$I$28,5)/100</f>
        <v>0.875</v>
      </c>
      <c r="I106" s="9">
        <f>VLOOKUP($D$108,constantsHP!$A$4:$I$28,6)/100</f>
        <v>0.86499999999999999</v>
      </c>
      <c r="J106" s="9">
        <f>VLOOKUP($D$108,constantsHP!$A$4:$I$28,7)/100</f>
        <v>0.89500000000000002</v>
      </c>
      <c r="K106" s="9">
        <f>VLOOKUP($D$108,constantsHP!$A$4:$I$28,8)/100</f>
        <v>0.89500000000000002</v>
      </c>
      <c r="L106" s="9">
        <f>VLOOKUP($D$108,constantsHP!$A$4:$I$28,9)/100</f>
        <v>0.82499999999999996</v>
      </c>
      <c r="M106" s="21"/>
      <c r="N106" s="20"/>
      <c r="R106">
        <v>23</v>
      </c>
      <c r="S106">
        <v>450</v>
      </c>
    </row>
    <row r="107" spans="1:19" x14ac:dyDescent="0.3">
      <c r="C107" s="33" t="s">
        <v>154</v>
      </c>
      <c r="D107" s="7">
        <v>1</v>
      </c>
      <c r="M107" s="21"/>
      <c r="N107" s="20"/>
      <c r="R107">
        <v>24</v>
      </c>
      <c r="S107">
        <v>500</v>
      </c>
    </row>
    <row r="108" spans="1:19" x14ac:dyDescent="0.3">
      <c r="C108" s="33" t="s">
        <v>157</v>
      </c>
      <c r="D108" s="31">
        <f>G53</f>
        <v>3</v>
      </c>
      <c r="E108" s="151" t="s">
        <v>158</v>
      </c>
      <c r="F108" s="148" t="s">
        <v>159</v>
      </c>
      <c r="G108" s="150"/>
      <c r="H108" s="108" t="s">
        <v>160</v>
      </c>
      <c r="I108" s="108"/>
      <c r="J108" s="89" t="s">
        <v>161</v>
      </c>
      <c r="K108" s="89"/>
      <c r="M108" s="21"/>
      <c r="N108" s="20"/>
      <c r="R108">
        <v>25</v>
      </c>
    </row>
    <row r="109" spans="1:19" x14ac:dyDescent="0.3">
      <c r="C109" s="33" t="s">
        <v>162</v>
      </c>
      <c r="D109" s="31">
        <f>G54</f>
        <v>2.4479496489954009</v>
      </c>
      <c r="E109" s="152"/>
      <c r="F109" s="114" t="s">
        <v>163</v>
      </c>
      <c r="G109" s="114" t="s">
        <v>164</v>
      </c>
      <c r="H109" s="114" t="s">
        <v>163</v>
      </c>
      <c r="I109" s="114" t="s">
        <v>164</v>
      </c>
      <c r="J109" s="114" t="s">
        <v>163</v>
      </c>
      <c r="K109" s="114" t="s">
        <v>164</v>
      </c>
      <c r="M109" s="21"/>
      <c r="N109" s="20"/>
      <c r="R109">
        <v>26</v>
      </c>
    </row>
    <row r="110" spans="1:19" x14ac:dyDescent="0.3">
      <c r="C110" s="33" t="s">
        <v>165</v>
      </c>
      <c r="D110" s="35" t="str">
        <f>G55</f>
        <v>ODP</v>
      </c>
      <c r="E110" s="10" t="s">
        <v>166</v>
      </c>
      <c r="F110" s="9">
        <f>VLOOKUP($D$108,constantsHP!$K$4:$Q$28,2)</f>
        <v>1.0327299999999999</v>
      </c>
      <c r="G110" s="9">
        <f>VLOOKUP($D$108,constantsHP!$K$4:$Q$28,3)</f>
        <v>1.338E-2</v>
      </c>
      <c r="H110" s="9">
        <f>VLOOKUP($D$108,constantsHP!$K$4:$Q$28,4)</f>
        <v>1.04016</v>
      </c>
      <c r="I110" s="9">
        <f>VLOOKUP($D$108,constantsHP!$K$4:$Q$28,5)</f>
        <v>2.4670000000000001E-2</v>
      </c>
      <c r="J110" s="9">
        <f>VLOOKUP($D$108,constantsHP!$K$4:$Q$28,6)</f>
        <v>1.0676000000000001</v>
      </c>
      <c r="K110" s="9">
        <f>VLOOKUP($D$108,constantsHP!$K$4:$Q$28,7)</f>
        <v>4.24E-2</v>
      </c>
      <c r="M110" s="23"/>
      <c r="R110">
        <v>37</v>
      </c>
    </row>
    <row r="111" spans="1:19" x14ac:dyDescent="0.3">
      <c r="C111" s="33"/>
      <c r="D111" s="7"/>
      <c r="E111" s="10" t="s">
        <v>167</v>
      </c>
      <c r="F111" s="9">
        <f>VLOOKUP($D$108,constantsHP!$Z$4:$AF$28,2)</f>
        <v>1.1134999999999999</v>
      </c>
      <c r="G111" s="9">
        <f>VLOOKUP($D$108,constantsHP!$Z$4:$AF$28,3)</f>
        <v>6.4360000000000001E-2</v>
      </c>
      <c r="H111" s="9">
        <f>VLOOKUP($D$108,constantsHP!$Z$4:$AF$28,4)</f>
        <v>1.10643</v>
      </c>
      <c r="I111" s="9">
        <f>VLOOKUP($D$108,constantsHP!$Z$4:$AF$28,5)</f>
        <v>6.5710000000000005E-2</v>
      </c>
      <c r="J111" s="9">
        <f>VLOOKUP($D$108,constantsHP!$Z$4:$AF$28,6)</f>
        <v>1.1296200000000001</v>
      </c>
      <c r="K111" s="9">
        <f>VLOOKUP($D$108,constantsHP!$Z$4:$AF$28,7)</f>
        <v>8.0269999999999994E-2</v>
      </c>
      <c r="M111" s="23"/>
      <c r="R111">
        <v>38</v>
      </c>
    </row>
    <row r="112" spans="1:19" x14ac:dyDescent="0.3">
      <c r="C112" s="33" t="s">
        <v>168</v>
      </c>
      <c r="D112" s="31">
        <f>G56</f>
        <v>4</v>
      </c>
      <c r="E112" s="6"/>
      <c r="M112" s="23"/>
      <c r="N112" s="5"/>
      <c r="R112">
        <v>39</v>
      </c>
    </row>
    <row r="113" spans="1:18" x14ac:dyDescent="0.3">
      <c r="C113" s="33" t="s">
        <v>169</v>
      </c>
      <c r="D113" s="7" t="str">
        <f>I9</f>
        <v>Direct</v>
      </c>
      <c r="E113" s="6"/>
      <c r="F113" s="6" t="s">
        <v>170</v>
      </c>
      <c r="G113" s="6"/>
      <c r="H113" s="6"/>
      <c r="I113" s="6"/>
      <c r="M113" s="23"/>
      <c r="R113">
        <v>40</v>
      </c>
    </row>
    <row r="114" spans="1:18" x14ac:dyDescent="0.3">
      <c r="C114" s="33" t="s">
        <v>171</v>
      </c>
      <c r="D114" s="7">
        <f>IF(I8="no",0,1)</f>
        <v>1</v>
      </c>
      <c r="E114" s="10"/>
      <c r="F114" s="108" t="s">
        <v>141</v>
      </c>
      <c r="G114" s="108" t="s">
        <v>172</v>
      </c>
      <c r="H114" s="108" t="s">
        <v>173</v>
      </c>
      <c r="I114" s="108" t="s">
        <v>174</v>
      </c>
      <c r="M114" s="23"/>
    </row>
    <row r="115" spans="1:18" x14ac:dyDescent="0.3">
      <c r="C115" s="33" t="s">
        <v>175</v>
      </c>
      <c r="D115" s="31">
        <f>D108</f>
        <v>3</v>
      </c>
      <c r="E115" s="10" t="s">
        <v>176</v>
      </c>
      <c r="F115" s="9">
        <f>VLOOKUP($D$115,constantsHP!$S$4:$X$28,3)</f>
        <v>3</v>
      </c>
      <c r="G115" s="9">
        <f>VLOOKUP($D$115,constantsHP!$S$4:$X$28,4)</f>
        <v>0.97889999999999999</v>
      </c>
      <c r="H115" s="9">
        <f>VLOOKUP($D$115,constantsHP!$S$4:$X$28,5)</f>
        <v>3.4200000000000001E-2</v>
      </c>
      <c r="I115" s="9">
        <f>VLOOKUP($D$115,constantsHP!$S$4:$X$28,6)</f>
        <v>-7.9000000000000008E-3</v>
      </c>
      <c r="M115" s="23"/>
    </row>
    <row r="116" spans="1:18" x14ac:dyDescent="0.3">
      <c r="C116" s="6"/>
      <c r="D116" s="7"/>
      <c r="E116" s="10" t="s">
        <v>177</v>
      </c>
      <c r="F116" s="9">
        <f>VLOOKUP($D$115,constantsHP!$T$4:$X$28,2)</f>
        <v>5</v>
      </c>
      <c r="G116" s="9">
        <f>VLOOKUP($D$115,constantsHP!$T$4:$X$28,3)</f>
        <v>0.97750000000000004</v>
      </c>
      <c r="H116" s="9">
        <f>VLOOKUP($D$115,constantsHP!$T$4:$X$28,4)</f>
        <v>2.8400000000000002E-2</v>
      </c>
      <c r="I116" s="9">
        <f>VLOOKUP($D$115,constantsHP!$T$4:$X$28,5)</f>
        <v>-2.7000000000000001E-3</v>
      </c>
      <c r="M116" s="23"/>
    </row>
    <row r="117" spans="1:18" x14ac:dyDescent="0.3">
      <c r="C117" s="11"/>
      <c r="D117" s="7"/>
      <c r="E117" s="10" t="s">
        <v>178</v>
      </c>
      <c r="F117" s="9">
        <f>(D115-F115)/(F116-F115)</f>
        <v>0</v>
      </c>
      <c r="G117" s="9">
        <f>ROUND($F117*(G116-G115)+G115,5)</f>
        <v>0.97889999999999999</v>
      </c>
      <c r="H117" s="9">
        <f>ROUND($F117*(H116-H115)+H115,5)</f>
        <v>3.4200000000000001E-2</v>
      </c>
      <c r="I117" s="9">
        <f>ROUND($F117*(I116-I115)+I115,5)</f>
        <v>-7.9000000000000008E-3</v>
      </c>
      <c r="M117" s="23"/>
    </row>
    <row r="118" spans="1:18" x14ac:dyDescent="0.3">
      <c r="M118" s="23"/>
    </row>
    <row r="119" spans="1:18" x14ac:dyDescent="0.3">
      <c r="M119" s="23"/>
    </row>
    <row r="120" spans="1:18" ht="87.6" x14ac:dyDescent="0.35">
      <c r="A120" s="101" t="s">
        <v>179</v>
      </c>
      <c r="B120" s="101" t="s">
        <v>180</v>
      </c>
      <c r="C120" s="60" t="s">
        <v>181</v>
      </c>
      <c r="D120" s="102" t="s">
        <v>126</v>
      </c>
      <c r="E120" s="108" t="s">
        <v>182</v>
      </c>
      <c r="F120" s="108" t="s">
        <v>163</v>
      </c>
      <c r="G120" s="108" t="s">
        <v>164</v>
      </c>
      <c r="H120" s="108" t="s">
        <v>183</v>
      </c>
      <c r="I120" s="101" t="s">
        <v>184</v>
      </c>
      <c r="J120" s="102" t="s">
        <v>185</v>
      </c>
      <c r="K120" s="101" t="s">
        <v>186</v>
      </c>
      <c r="L120" s="101" t="s">
        <v>187</v>
      </c>
      <c r="M120" s="101" t="s">
        <v>188</v>
      </c>
      <c r="N120" s="101" t="s">
        <v>189</v>
      </c>
    </row>
    <row r="121" spans="1:18" x14ac:dyDescent="0.3">
      <c r="A121" s="27">
        <f>D109</f>
        <v>2.4479496489954009</v>
      </c>
      <c r="B121" s="114">
        <f>IF($D$113="Direct",1,IF($D$113="V-Belt",0.96*(A121/(A121+2.2))^0.05,IF($D$113="Coupling",0.98,IF(AND($D$113="Synchronous Belt",A121&lt;=1.34),0.94,IF(AND($D$113="Synchronous Belt",A121&gt;1.34,A121&lt;=6.7),0.00746*A121+0.93,0.98)))))</f>
        <v>1</v>
      </c>
      <c r="C121" s="114">
        <f>A121/B121</f>
        <v>2.4479496489954009</v>
      </c>
      <c r="D121" s="114">
        <f>IF(AND($D$110="ODP",$D$112=2),$E$106,IF(AND($D$110="ODP",$D$112=4),$F$106,IF(AND($D$110="ODP",$D$112=6),$G$106,IF(AND($D$110="ODP",$D$112=8),$H$106,IF(AND($D$110="TEFC",$D$112=2),$I$106,IF(AND($D$110="TEFC",$D$112=4),$J$106,IF(AND($D$110="TEFC",$D$112=6),$K$106,IF(AND($D$110="TEFC",$D$112=8),$L$106))))))))</f>
        <v>0.86900000000000011</v>
      </c>
      <c r="E121" s="114">
        <f>C121/$D$108</f>
        <v>0.81598321633180027</v>
      </c>
      <c r="F121" s="114">
        <f>IF(AND($D$114&gt;0,$D$112=2),F$110,IF(AND($D$114=0,$D$112=2),F$111,IF(AND($D$114&gt;0,$D$112=4),H$110,IF(AND($D$114=0,$D$112=4),H$111,IF(AND($D$114&gt;0,OR($D$112=6,$D$112=8)),J$110,IF(AND($D$114=0,OR($D$112=6,$D$112=8)),J$111))))))</f>
        <v>1.04016</v>
      </c>
      <c r="G121" s="114">
        <f>IF(AND($D$114&gt;0,$D$112=2),G$110,IF(AND($D$114=0,$D$112=2),G$111,IF(AND($D$114&gt;0,$D$112=4),I$110,IF(AND($D$114=0,$D$112=4),I$111,IF(AND($D$114&gt;0,OR($D$112=6,$D$112=8)),K$110,IF(AND($D$114=0,OR($D$112=6,$D$112=8)),K$111))))))</f>
        <v>2.4670000000000001E-2</v>
      </c>
      <c r="H121" s="114">
        <f>1-(F121/(1+G121))</f>
        <v>-1.5117062078522814E-2</v>
      </c>
      <c r="I121" s="34">
        <f>D121*(((F121*E121)/(G121+E121))+H121*(E121^2))</f>
        <v>0.86862620507663579</v>
      </c>
      <c r="J121" s="103">
        <f>IF($D$114=0,0,($D$107/$D$114)*C121/(I121*$D$115))</f>
        <v>0.93939511790322849</v>
      </c>
      <c r="K121" s="32">
        <f>($G$117*J121/($H$117+J121))+(J121*$I$117)</f>
        <v>0.93709243111840435</v>
      </c>
      <c r="L121" s="104">
        <f>I121*K121</f>
        <v>0.81398304224841833</v>
      </c>
      <c r="M121" s="36">
        <f>IF(J121=0,C121*0.7457/I121,C121*0.7457/L121)</f>
        <v>2.2425971531465496</v>
      </c>
      <c r="N121" s="104">
        <f>IF(J121=0,B121*I121,B121*L121)</f>
        <v>0.81398304224841833</v>
      </c>
    </row>
    <row r="122" spans="1:18" x14ac:dyDescent="0.3">
      <c r="C122" s="23"/>
      <c r="D122" s="23"/>
      <c r="E122" s="23"/>
      <c r="F122" s="23"/>
      <c r="G122" s="23"/>
      <c r="H122" s="23"/>
      <c r="I122" s="23"/>
      <c r="J122" s="23"/>
      <c r="K122" s="23"/>
      <c r="L122" s="23"/>
      <c r="M122" s="23"/>
    </row>
    <row r="123" spans="1:18" x14ac:dyDescent="0.3">
      <c r="C123" s="23"/>
      <c r="D123" s="23"/>
      <c r="E123" s="23"/>
      <c r="F123" s="23"/>
      <c r="G123" s="23"/>
      <c r="H123" s="23"/>
      <c r="I123" s="23"/>
      <c r="J123" s="23"/>
      <c r="K123" s="23"/>
      <c r="L123" s="23"/>
      <c r="M123" s="23"/>
    </row>
    <row r="124" spans="1:18" x14ac:dyDescent="0.3">
      <c r="C124" s="23"/>
      <c r="D124" s="23"/>
      <c r="E124" s="23"/>
      <c r="F124" s="23"/>
      <c r="G124" s="23"/>
      <c r="H124" s="23"/>
      <c r="I124" s="23"/>
      <c r="J124" s="23"/>
      <c r="K124" s="23"/>
      <c r="L124" s="23"/>
      <c r="M124" s="23"/>
    </row>
    <row r="125" spans="1:18" x14ac:dyDescent="0.3">
      <c r="C125" s="23"/>
      <c r="D125" s="23"/>
      <c r="E125" s="23"/>
      <c r="F125" s="23"/>
      <c r="G125" s="23"/>
      <c r="H125" s="23"/>
      <c r="I125" s="23"/>
      <c r="J125" s="23"/>
      <c r="K125" s="23"/>
      <c r="L125" s="23"/>
      <c r="M125" s="23"/>
    </row>
    <row r="126" spans="1:18" x14ac:dyDescent="0.3">
      <c r="C126" s="23"/>
      <c r="D126" s="23"/>
      <c r="E126" s="23"/>
      <c r="F126" s="23"/>
      <c r="G126" s="23"/>
      <c r="H126" s="23"/>
      <c r="I126" s="23"/>
      <c r="J126" s="23"/>
      <c r="K126" s="23"/>
      <c r="L126" s="23"/>
      <c r="M126" s="23"/>
    </row>
    <row r="127" spans="1:18" x14ac:dyDescent="0.3">
      <c r="C127" s="23"/>
      <c r="D127" s="23"/>
      <c r="E127" s="23"/>
      <c r="F127" s="23"/>
      <c r="G127" s="23"/>
      <c r="H127" s="23"/>
      <c r="I127" s="23"/>
      <c r="J127" s="23"/>
      <c r="K127" s="23"/>
      <c r="L127" s="23"/>
      <c r="M127" s="23"/>
    </row>
    <row r="128" spans="1:18" x14ac:dyDescent="0.3">
      <c r="C128" s="23"/>
      <c r="D128" s="23"/>
      <c r="E128" s="23"/>
      <c r="F128" s="23"/>
      <c r="G128" s="23"/>
      <c r="H128" s="23"/>
      <c r="I128" s="23"/>
      <c r="J128" s="23"/>
      <c r="K128" s="23"/>
      <c r="L128" s="23"/>
      <c r="M128" s="23"/>
    </row>
    <row r="129" spans="1:18" x14ac:dyDescent="0.3">
      <c r="A129" s="12"/>
      <c r="C129" s="23"/>
      <c r="D129" s="23"/>
      <c r="E129" s="23"/>
      <c r="F129" s="23"/>
      <c r="G129" s="23"/>
      <c r="H129" s="23"/>
      <c r="I129" s="23"/>
      <c r="J129" s="23"/>
      <c r="K129" s="23"/>
      <c r="L129" s="23"/>
      <c r="M129" s="23"/>
      <c r="N129" s="12"/>
    </row>
    <row r="130" spans="1:18" x14ac:dyDescent="0.3">
      <c r="A130" s="2"/>
      <c r="B130" s="12"/>
      <c r="C130" s="23"/>
      <c r="D130" s="23"/>
      <c r="E130" s="23"/>
      <c r="F130" s="23"/>
      <c r="G130" s="23"/>
      <c r="H130" s="23"/>
      <c r="I130" s="23"/>
      <c r="J130" s="23"/>
      <c r="K130" s="23"/>
      <c r="L130" s="23"/>
      <c r="M130" s="23"/>
      <c r="N130" s="20"/>
    </row>
    <row r="131" spans="1:18" x14ac:dyDescent="0.3">
      <c r="A131" s="2"/>
      <c r="B131" s="23"/>
      <c r="C131" s="23"/>
      <c r="D131" s="23"/>
      <c r="E131" s="23"/>
      <c r="F131" s="23"/>
      <c r="G131" s="23"/>
      <c r="H131" s="23"/>
      <c r="I131" s="23"/>
      <c r="J131" s="23"/>
      <c r="K131" s="23"/>
      <c r="L131" s="23"/>
      <c r="M131" s="23"/>
      <c r="N131" s="20"/>
    </row>
    <row r="132" spans="1:18" x14ac:dyDescent="0.3">
      <c r="A132" s="2"/>
      <c r="B132" s="23"/>
      <c r="C132" s="23"/>
      <c r="D132" s="23"/>
      <c r="E132" s="23"/>
      <c r="F132" s="23"/>
      <c r="G132" s="23"/>
      <c r="H132" s="23"/>
      <c r="I132" s="23"/>
      <c r="J132" s="23"/>
      <c r="K132" s="23"/>
      <c r="L132" s="23"/>
      <c r="M132" s="23"/>
      <c r="N132" s="23"/>
      <c r="O132" s="23"/>
      <c r="P132" s="23"/>
      <c r="Q132" s="23"/>
      <c r="R132" s="20"/>
    </row>
    <row r="133" spans="1:18" x14ac:dyDescent="0.3">
      <c r="A133" s="2"/>
      <c r="B133" s="23"/>
      <c r="C133" s="23"/>
      <c r="D133" s="23"/>
      <c r="E133" s="23"/>
      <c r="F133" s="23"/>
      <c r="G133" s="23"/>
      <c r="H133" s="23"/>
      <c r="I133" s="23"/>
      <c r="J133" s="23"/>
      <c r="K133" s="23"/>
      <c r="L133" s="23"/>
      <c r="M133" s="23"/>
      <c r="N133" s="23"/>
      <c r="O133" s="23"/>
      <c r="P133" s="23"/>
      <c r="Q133" s="23"/>
      <c r="R133" s="20"/>
    </row>
    <row r="134" spans="1:18" x14ac:dyDescent="0.3">
      <c r="A134" s="2"/>
      <c r="B134" s="23"/>
      <c r="C134" s="23"/>
      <c r="D134" s="23"/>
      <c r="E134" s="23"/>
      <c r="F134" s="23"/>
      <c r="G134" s="23"/>
      <c r="H134" s="23"/>
      <c r="I134" s="23"/>
      <c r="J134" s="23"/>
      <c r="K134" s="23"/>
      <c r="L134" s="23"/>
      <c r="M134" s="23"/>
      <c r="N134" s="23"/>
      <c r="O134" s="23"/>
      <c r="P134" s="23"/>
      <c r="Q134" s="23"/>
      <c r="R134" s="20"/>
    </row>
    <row r="135" spans="1:18" x14ac:dyDescent="0.3">
      <c r="A135" s="2"/>
      <c r="B135" s="23"/>
      <c r="C135" s="23"/>
      <c r="D135" s="23"/>
      <c r="E135" s="23"/>
      <c r="F135" s="23"/>
      <c r="G135" s="23"/>
      <c r="H135" s="23"/>
      <c r="I135" s="23"/>
      <c r="J135" s="23"/>
      <c r="K135" s="23"/>
      <c r="L135" s="23"/>
      <c r="M135" s="23"/>
      <c r="N135" s="23"/>
      <c r="O135" s="23"/>
      <c r="P135" s="23"/>
      <c r="Q135" s="23"/>
      <c r="R135" s="20"/>
    </row>
    <row r="136" spans="1:18" x14ac:dyDescent="0.3">
      <c r="A136" s="2"/>
      <c r="B136" s="23"/>
      <c r="C136" s="23"/>
      <c r="D136" s="23"/>
      <c r="E136" s="23"/>
      <c r="F136" s="23"/>
      <c r="G136" s="23"/>
      <c r="H136" s="23"/>
      <c r="I136" s="23"/>
      <c r="J136" s="23"/>
      <c r="K136" s="23"/>
      <c r="L136" s="23"/>
      <c r="M136" s="23"/>
      <c r="N136" s="23"/>
      <c r="O136" s="23"/>
      <c r="P136" s="23"/>
      <c r="Q136" s="23"/>
      <c r="R136" s="20"/>
    </row>
    <row r="137" spans="1:18" x14ac:dyDescent="0.3">
      <c r="A137" s="2"/>
      <c r="B137" s="23"/>
      <c r="C137" s="23"/>
      <c r="D137" s="23"/>
      <c r="E137" s="23"/>
      <c r="F137" s="23"/>
      <c r="G137" s="23"/>
      <c r="H137" s="23"/>
      <c r="I137" s="23"/>
      <c r="J137" s="23"/>
      <c r="K137" s="23"/>
      <c r="L137" s="23"/>
      <c r="M137" s="23"/>
      <c r="N137" s="23"/>
      <c r="O137" s="23"/>
      <c r="P137" s="23"/>
      <c r="Q137" s="23"/>
      <c r="R137" s="20"/>
    </row>
    <row r="138" spans="1:18" x14ac:dyDescent="0.3">
      <c r="A138" s="2"/>
      <c r="B138" s="23"/>
      <c r="C138" s="23"/>
      <c r="D138" s="23"/>
      <c r="E138" s="23"/>
      <c r="F138" s="23"/>
      <c r="G138" s="23"/>
      <c r="H138" s="23"/>
      <c r="I138" s="23"/>
      <c r="J138" s="23"/>
      <c r="K138" s="23"/>
      <c r="L138" s="23"/>
      <c r="M138" s="23"/>
      <c r="N138" s="23"/>
      <c r="O138" s="23"/>
      <c r="P138" s="23"/>
      <c r="Q138" s="23"/>
      <c r="R138" s="20"/>
    </row>
    <row r="139" spans="1:18" x14ac:dyDescent="0.3">
      <c r="A139" s="2"/>
      <c r="B139" s="23"/>
      <c r="C139" s="23"/>
      <c r="D139" s="23"/>
      <c r="E139" s="23"/>
      <c r="F139" s="23"/>
      <c r="G139" s="23"/>
      <c r="H139" s="23"/>
      <c r="I139" s="23"/>
      <c r="J139" s="23"/>
      <c r="K139" s="23"/>
      <c r="L139" s="23"/>
      <c r="M139" s="23"/>
      <c r="N139" s="23"/>
      <c r="O139" s="23"/>
      <c r="P139" s="23"/>
      <c r="Q139" s="23"/>
      <c r="R139" s="20"/>
    </row>
    <row r="140" spans="1:18" x14ac:dyDescent="0.3">
      <c r="B140" s="23"/>
      <c r="C140" s="23"/>
      <c r="D140" s="23"/>
      <c r="E140" s="23"/>
      <c r="F140" s="23"/>
      <c r="G140" s="23"/>
      <c r="H140" s="23"/>
      <c r="I140" s="23"/>
      <c r="J140" s="23"/>
      <c r="K140" s="23"/>
      <c r="L140" s="23"/>
      <c r="M140" s="23"/>
      <c r="N140" s="23"/>
      <c r="O140" s="23"/>
      <c r="P140" s="23"/>
      <c r="Q140" s="23"/>
    </row>
    <row r="141" spans="1:18" x14ac:dyDescent="0.3">
      <c r="C141" s="23"/>
      <c r="D141" s="23"/>
      <c r="E141" s="23"/>
      <c r="F141" s="23"/>
      <c r="G141" s="23"/>
      <c r="H141" s="23"/>
      <c r="I141" s="23"/>
      <c r="J141" s="23"/>
      <c r="K141" s="23"/>
      <c r="L141" s="23"/>
      <c r="M141" s="23"/>
      <c r="N141" s="23"/>
      <c r="O141" s="23"/>
      <c r="P141" s="23"/>
      <c r="Q141" s="23"/>
    </row>
    <row r="142" spans="1:18" x14ac:dyDescent="0.3">
      <c r="C142" s="23"/>
      <c r="D142" s="23"/>
      <c r="E142" s="23"/>
      <c r="F142" s="23"/>
      <c r="G142" s="23"/>
      <c r="H142" s="23"/>
      <c r="I142" s="23"/>
      <c r="J142" s="23"/>
      <c r="K142" s="23"/>
      <c r="L142" s="23"/>
      <c r="M142" s="23"/>
      <c r="N142" s="23"/>
      <c r="O142" s="23"/>
      <c r="P142" s="23"/>
      <c r="Q142" s="23"/>
    </row>
    <row r="143" spans="1:18" x14ac:dyDescent="0.3">
      <c r="C143" s="23"/>
      <c r="D143" s="23"/>
      <c r="E143" s="23"/>
      <c r="F143" s="23"/>
      <c r="G143" s="23"/>
      <c r="H143" s="23"/>
      <c r="I143" s="23"/>
      <c r="J143" s="23"/>
      <c r="K143" s="23"/>
      <c r="L143" s="23"/>
      <c r="M143" s="23"/>
      <c r="N143" s="23"/>
      <c r="O143" s="23"/>
      <c r="P143" s="23"/>
      <c r="Q143" s="23"/>
    </row>
  </sheetData>
  <mergeCells count="77">
    <mergeCell ref="F21:G21"/>
    <mergeCell ref="F20:G20"/>
    <mergeCell ref="K4:N4"/>
    <mergeCell ref="K5:N5"/>
    <mergeCell ref="K6:N6"/>
    <mergeCell ref="K7:N7"/>
    <mergeCell ref="F16:G16"/>
    <mergeCell ref="F17:G17"/>
    <mergeCell ref="F18:G18"/>
    <mergeCell ref="F19:G19"/>
    <mergeCell ref="H14:I14"/>
    <mergeCell ref="D11:G11"/>
    <mergeCell ref="D6:G6"/>
    <mergeCell ref="H6:I6"/>
    <mergeCell ref="D7:G7"/>
    <mergeCell ref="D8:G8"/>
    <mergeCell ref="E108:E109"/>
    <mergeCell ref="F108:G108"/>
    <mergeCell ref="B59:E59"/>
    <mergeCell ref="J59:P59"/>
    <mergeCell ref="E83:H83"/>
    <mergeCell ref="E87:E88"/>
    <mergeCell ref="F87:G87"/>
    <mergeCell ref="E104:H104"/>
    <mergeCell ref="B55:E55"/>
    <mergeCell ref="B56:E56"/>
    <mergeCell ref="B57:E57"/>
    <mergeCell ref="J57:P57"/>
    <mergeCell ref="B58:E58"/>
    <mergeCell ref="J58:P58"/>
    <mergeCell ref="B52:E52"/>
    <mergeCell ref="J52:N52"/>
    <mergeCell ref="B53:E53"/>
    <mergeCell ref="J53:N53"/>
    <mergeCell ref="B54:E54"/>
    <mergeCell ref="J54:N54"/>
    <mergeCell ref="B46:E46"/>
    <mergeCell ref="J46:N46"/>
    <mergeCell ref="J47:N47"/>
    <mergeCell ref="J48:N48"/>
    <mergeCell ref="E49:E51"/>
    <mergeCell ref="F49:F51"/>
    <mergeCell ref="G49:G51"/>
    <mergeCell ref="J49:N49"/>
    <mergeCell ref="B43:E43"/>
    <mergeCell ref="J43:N43"/>
    <mergeCell ref="B44:E44"/>
    <mergeCell ref="J44:N44"/>
    <mergeCell ref="B45:E45"/>
    <mergeCell ref="J45:N45"/>
    <mergeCell ref="B40:E40"/>
    <mergeCell ref="J40:N40"/>
    <mergeCell ref="B41:E41"/>
    <mergeCell ref="J41:N41"/>
    <mergeCell ref="B42:E42"/>
    <mergeCell ref="J42:N42"/>
    <mergeCell ref="AC39:AE39"/>
    <mergeCell ref="B34:E34"/>
    <mergeCell ref="B35:E35"/>
    <mergeCell ref="B37:E37"/>
    <mergeCell ref="J37:N37"/>
    <mergeCell ref="B38:E38"/>
    <mergeCell ref="J38:N38"/>
    <mergeCell ref="B39:E39"/>
    <mergeCell ref="J39:N39"/>
    <mergeCell ref="Z39:AB39"/>
    <mergeCell ref="D9:G9"/>
    <mergeCell ref="D10:G10"/>
    <mergeCell ref="D5:G5"/>
    <mergeCell ref="H5:I5"/>
    <mergeCell ref="D4:G4"/>
    <mergeCell ref="H4:I4"/>
    <mergeCell ref="F22:G22"/>
    <mergeCell ref="F23:G23"/>
    <mergeCell ref="F24:G24"/>
    <mergeCell ref="F25:G25"/>
    <mergeCell ref="F26:I28"/>
  </mergeCells>
  <dataValidations count="7">
    <dataValidation type="list" allowBlank="1" showInputMessage="1" showErrorMessage="1" sqref="F52:G52" xr:uid="{6EF4ABD7-A348-444B-BB87-5EEDD487E858}">
      <formula1>$X$83:$X$85</formula1>
    </dataValidation>
    <dataValidation type="list" allowBlank="1" showInputMessage="1" showErrorMessage="1" sqref="H5:I5" xr:uid="{110156AC-9672-4E75-A86A-46A743C0DDBA}">
      <formula1>$W$83:$W$85</formula1>
    </dataValidation>
    <dataValidation type="list" allowBlank="1" showInputMessage="1" showErrorMessage="1" sqref="H8:I8 F17:F20 F23:F24" xr:uid="{054F5890-F6FA-4917-B800-078C8916162E}">
      <formula1>$X$83:$X$84</formula1>
    </dataValidation>
    <dataValidation type="list" allowBlank="1" showInputMessage="1" showErrorMessage="1" sqref="H9:I9" xr:uid="{EA86C054-E857-419C-BE86-6B386FA3CB12}">
      <formula1>$P$83:$P$84</formula1>
    </dataValidation>
    <dataValidation type="list" allowBlank="1" showInputMessage="1" showErrorMessage="1" sqref="F55:G55" xr:uid="{FD7854F8-6286-454D-AEBF-6E333EECF111}">
      <formula1>$O$83:$O$84</formula1>
    </dataValidation>
    <dataValidation type="list" allowBlank="1" showInputMessage="1" showErrorMessage="1" sqref="F56:G56" xr:uid="{E8712A42-20A8-4DB9-BB3F-996D6609F79E}">
      <formula1>$Q$83:$Q$86</formula1>
    </dataValidation>
    <dataValidation type="list" allowBlank="1" showInputMessage="1" showErrorMessage="1" sqref="F16" xr:uid="{63099CA1-BAD4-4CCB-A69D-863F87832A5B}">
      <formula1>$Y$83:$Y$86</formula1>
    </dataValidation>
  </dataValidations>
  <pageMargins left="0.7" right="0.7" top="0.75" bottom="0.75" header="0.3" footer="0.3"/>
  <pageSetup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CFB6B-C960-4C11-9E4B-B72BFE499BE2}">
  <sheetPr>
    <tabColor theme="9" tint="0.79998168889431442"/>
  </sheetPr>
  <dimension ref="A2:AE143"/>
  <sheetViews>
    <sheetView showGridLines="0" topLeftCell="A10" zoomScale="90" zoomScaleNormal="90" workbookViewId="0">
      <selection activeCell="F16" sqref="F16:G16"/>
    </sheetView>
  </sheetViews>
  <sheetFormatPr defaultRowHeight="14.4" x14ac:dyDescent="0.3"/>
  <cols>
    <col min="2" max="2" width="11.88671875" bestFit="1" customWidth="1"/>
    <col min="3" max="3" width="11.6640625" customWidth="1"/>
    <col min="5" max="5" width="12.33203125" customWidth="1"/>
    <col min="6" max="6" width="15.6640625" customWidth="1"/>
    <col min="7" max="7" width="13" customWidth="1"/>
    <col min="8" max="8" width="14" bestFit="1" customWidth="1"/>
    <col min="9" max="9" width="15.109375" customWidth="1"/>
    <col min="13" max="14" width="10.6640625" customWidth="1"/>
    <col min="15" max="15" width="9.6640625" customWidth="1"/>
    <col min="17" max="17" width="14.5546875" customWidth="1"/>
    <col min="18" max="18" width="12.109375" customWidth="1"/>
    <col min="19" max="19" width="16.109375" customWidth="1"/>
    <col min="20" max="20" width="15.44140625" customWidth="1"/>
    <col min="24" max="24" width="48.44140625" customWidth="1"/>
    <col min="25" max="25" width="10.109375" customWidth="1"/>
    <col min="26" max="26" width="12.44140625" customWidth="1"/>
    <col min="29" max="29" width="10.44140625" customWidth="1"/>
  </cols>
  <sheetData>
    <row r="2" spans="2:15" x14ac:dyDescent="0.3">
      <c r="N2" s="95"/>
    </row>
    <row r="3" spans="2:15" x14ac:dyDescent="0.3">
      <c r="G3" s="33" t="s">
        <v>25</v>
      </c>
      <c r="K3" t="s">
        <v>26</v>
      </c>
      <c r="N3" s="96"/>
    </row>
    <row r="4" spans="2:15" x14ac:dyDescent="0.3">
      <c r="D4" s="144" t="s">
        <v>27</v>
      </c>
      <c r="E4" s="145"/>
      <c r="F4" s="145"/>
      <c r="G4" s="146"/>
      <c r="H4" s="156" t="s">
        <v>28</v>
      </c>
      <c r="I4" s="157"/>
      <c r="K4" s="154" t="s">
        <v>29</v>
      </c>
      <c r="L4" s="154"/>
      <c r="M4" s="154"/>
      <c r="N4" s="154"/>
    </row>
    <row r="5" spans="2:15" x14ac:dyDescent="0.3">
      <c r="D5" s="144" t="s">
        <v>30</v>
      </c>
      <c r="E5" s="145"/>
      <c r="F5" s="145"/>
      <c r="G5" s="146"/>
      <c r="H5" s="158" t="s">
        <v>20</v>
      </c>
      <c r="I5" s="158"/>
      <c r="K5" s="181" t="s">
        <v>31</v>
      </c>
      <c r="L5" s="181"/>
      <c r="M5" s="181"/>
      <c r="N5" s="181"/>
    </row>
    <row r="6" spans="2:15" x14ac:dyDescent="0.3">
      <c r="D6" s="144" t="s">
        <v>32</v>
      </c>
      <c r="E6" s="145"/>
      <c r="F6" s="145"/>
      <c r="G6" s="146"/>
      <c r="H6" s="156" t="s">
        <v>202</v>
      </c>
      <c r="I6" s="157"/>
      <c r="K6" s="182" t="s">
        <v>34</v>
      </c>
      <c r="L6" s="183"/>
      <c r="M6" s="183"/>
      <c r="N6" s="183"/>
    </row>
    <row r="7" spans="2:15" x14ac:dyDescent="0.3">
      <c r="D7" s="144"/>
      <c r="E7" s="145"/>
      <c r="F7" s="145"/>
      <c r="G7" s="146"/>
      <c r="H7" s="119" t="s">
        <v>35</v>
      </c>
      <c r="I7" s="119" t="s">
        <v>192</v>
      </c>
      <c r="K7" s="184" t="s">
        <v>36</v>
      </c>
      <c r="L7" s="184"/>
      <c r="M7" s="184"/>
      <c r="N7" s="184"/>
    </row>
    <row r="8" spans="2:15" x14ac:dyDescent="0.3">
      <c r="D8" s="144" t="s">
        <v>37</v>
      </c>
      <c r="E8" s="145"/>
      <c r="F8" s="145"/>
      <c r="G8" s="146"/>
      <c r="H8" s="121" t="s">
        <v>45</v>
      </c>
      <c r="I8" s="121" t="s">
        <v>45</v>
      </c>
    </row>
    <row r="9" spans="2:15" x14ac:dyDescent="0.3">
      <c r="D9" s="144" t="s">
        <v>39</v>
      </c>
      <c r="E9" s="145"/>
      <c r="F9" s="145"/>
      <c r="G9" s="146"/>
      <c r="H9" s="121" t="s">
        <v>140</v>
      </c>
      <c r="I9" s="121" t="s">
        <v>140</v>
      </c>
    </row>
    <row r="10" spans="2:15" x14ac:dyDescent="0.3">
      <c r="D10" s="144" t="s">
        <v>41</v>
      </c>
      <c r="E10" s="145"/>
      <c r="F10" s="145"/>
      <c r="G10" s="146"/>
      <c r="H10" s="121">
        <v>8000</v>
      </c>
      <c r="I10" s="121">
        <v>7600</v>
      </c>
    </row>
    <row r="11" spans="2:15" x14ac:dyDescent="0.3">
      <c r="D11" s="153" t="s">
        <v>193</v>
      </c>
      <c r="E11" s="153"/>
      <c r="F11" s="153"/>
      <c r="G11" s="153"/>
      <c r="H11" s="71">
        <v>0.2</v>
      </c>
    </row>
    <row r="12" spans="2:15" x14ac:dyDescent="0.3">
      <c r="J12" s="68"/>
      <c r="K12" s="68"/>
    </row>
    <row r="13" spans="2:15" x14ac:dyDescent="0.3">
      <c r="B13" s="68"/>
      <c r="C13" s="68"/>
      <c r="D13" s="68"/>
      <c r="E13" s="68"/>
      <c r="F13" s="68"/>
      <c r="J13" s="68"/>
      <c r="K13" s="68"/>
      <c r="O13" s="23"/>
    </row>
    <row r="14" spans="2:15" x14ac:dyDescent="0.3">
      <c r="B14" s="68"/>
      <c r="C14" s="68"/>
      <c r="D14" s="68"/>
      <c r="H14" s="170" t="s">
        <v>64</v>
      </c>
      <c r="I14" s="170"/>
      <c r="J14" s="68"/>
      <c r="K14" s="68"/>
      <c r="O14" s="23"/>
    </row>
    <row r="15" spans="2:15" x14ac:dyDescent="0.3">
      <c r="B15" s="68"/>
      <c r="C15" s="68"/>
      <c r="D15" s="68"/>
      <c r="H15" s="23" t="s">
        <v>35</v>
      </c>
      <c r="I15" s="120" t="s">
        <v>194</v>
      </c>
      <c r="J15" s="68"/>
      <c r="K15" s="68"/>
      <c r="O15" s="23"/>
    </row>
    <row r="16" spans="2:15" x14ac:dyDescent="0.3">
      <c r="B16" s="68"/>
      <c r="E16" s="43" t="s">
        <v>42</v>
      </c>
      <c r="F16" s="154" t="s">
        <v>153</v>
      </c>
      <c r="G16" s="154"/>
      <c r="H16" s="121">
        <v>3000</v>
      </c>
      <c r="I16" s="106"/>
      <c r="J16" s="47" t="str">
        <f>IF(H16&gt;$H$10,"Warning - value exceeds entered supply airflow!","")</f>
        <v/>
      </c>
    </row>
    <row r="17" spans="2:20" x14ac:dyDescent="0.3">
      <c r="B17" s="68"/>
      <c r="E17" s="43" t="s">
        <v>44</v>
      </c>
      <c r="F17" s="154" t="s">
        <v>45</v>
      </c>
      <c r="G17" s="154"/>
      <c r="H17" s="124">
        <f>IF(F17=$X$84,H10,0)</f>
        <v>8000</v>
      </c>
      <c r="I17" s="106"/>
    </row>
    <row r="18" spans="2:20" x14ac:dyDescent="0.3">
      <c r="E18" s="43" t="s">
        <v>47</v>
      </c>
      <c r="F18" s="154" t="s">
        <v>38</v>
      </c>
      <c r="G18" s="154"/>
      <c r="H18" s="124">
        <f>IF(F18=$X$84,H10,0)</f>
        <v>0</v>
      </c>
      <c r="I18" s="106"/>
    </row>
    <row r="19" spans="2:20" x14ac:dyDescent="0.3">
      <c r="E19" s="43" t="s">
        <v>49</v>
      </c>
      <c r="F19" s="154" t="s">
        <v>45</v>
      </c>
      <c r="G19" s="154"/>
      <c r="H19" s="124">
        <f>IF(F19=$X$84,H10,0)</f>
        <v>8000</v>
      </c>
      <c r="I19" s="106"/>
    </row>
    <row r="20" spans="2:20" x14ac:dyDescent="0.3">
      <c r="B20" s="68"/>
      <c r="E20" s="43" t="s">
        <v>51</v>
      </c>
      <c r="F20" s="154" t="s">
        <v>38</v>
      </c>
      <c r="G20" s="154"/>
      <c r="H20" s="124">
        <f>IF(F20=$X$84,H10,0)</f>
        <v>0</v>
      </c>
      <c r="I20" s="106"/>
    </row>
    <row r="21" spans="2:20" x14ac:dyDescent="0.3">
      <c r="E21" s="43" t="s">
        <v>195</v>
      </c>
      <c r="F21" s="177"/>
      <c r="G21" s="178"/>
      <c r="H21" s="121">
        <v>3000</v>
      </c>
      <c r="I21" s="121">
        <v>2600</v>
      </c>
      <c r="J21" s="47" t="str">
        <f>IF(AND(H21&gt;$H$10, I21&gt;$I$10),"Warning - values exceed both entered supply and exhaust/return airflows!",IF(H21&gt;H10,"Warning - value exceeds entered supply airflow!",IF(I21&gt;$I$10,"Warning - value exceeds entered exhaust/return airflow!","")))</f>
        <v/>
      </c>
    </row>
    <row r="22" spans="2:20" x14ac:dyDescent="0.3">
      <c r="E22" s="115" t="s">
        <v>46</v>
      </c>
      <c r="F22" s="177"/>
      <c r="G22" s="178"/>
      <c r="H22" s="121">
        <v>5000</v>
      </c>
      <c r="I22" s="106"/>
      <c r="J22" s="47" t="str">
        <f>IF(H22&gt;$H$10,"Warning - value exceeds entered supply airflow!","")</f>
        <v/>
      </c>
      <c r="T22" s="69"/>
    </row>
    <row r="23" spans="2:20" x14ac:dyDescent="0.3">
      <c r="E23" s="115" t="s">
        <v>48</v>
      </c>
      <c r="F23" s="154" t="s">
        <v>38</v>
      </c>
      <c r="G23" s="154"/>
      <c r="H23" s="124">
        <f>IF(F23=$X$84,H10,0)</f>
        <v>0</v>
      </c>
      <c r="I23" s="106"/>
      <c r="T23" s="69"/>
    </row>
    <row r="24" spans="2:20" x14ac:dyDescent="0.3">
      <c r="E24" s="115" t="s">
        <v>50</v>
      </c>
      <c r="F24" s="154" t="s">
        <v>38</v>
      </c>
      <c r="G24" s="154"/>
      <c r="H24" s="124">
        <f>IF(F24=$X$84,H10,0)</f>
        <v>0</v>
      </c>
      <c r="I24" s="106"/>
      <c r="J24" s="100"/>
      <c r="T24" s="69"/>
    </row>
    <row r="25" spans="2:20" ht="15" customHeight="1" x14ac:dyDescent="0.3">
      <c r="E25" s="115" t="s">
        <v>52</v>
      </c>
      <c r="F25" s="177"/>
      <c r="G25" s="179"/>
      <c r="H25" s="106"/>
      <c r="I25" s="121">
        <v>7600</v>
      </c>
      <c r="J25" s="47" t="str">
        <f>IF(I25&gt;$I$10,"Warning - value exceeds entered exhaust/return airflow!","")</f>
        <v/>
      </c>
      <c r="T25" s="69"/>
    </row>
    <row r="26" spans="2:20" ht="15" customHeight="1" x14ac:dyDescent="0.3">
      <c r="F26" s="161" t="s">
        <v>196</v>
      </c>
      <c r="G26" s="161"/>
      <c r="H26" s="161"/>
      <c r="I26" s="161"/>
      <c r="T26" s="69"/>
    </row>
    <row r="27" spans="2:20" x14ac:dyDescent="0.3">
      <c r="F27" s="161"/>
      <c r="G27" s="161"/>
      <c r="H27" s="161"/>
      <c r="I27" s="161"/>
      <c r="R27" s="100"/>
      <c r="S27" s="75"/>
      <c r="T27" s="69"/>
    </row>
    <row r="28" spans="2:20" x14ac:dyDescent="0.3">
      <c r="F28" s="161"/>
      <c r="G28" s="161"/>
      <c r="H28" s="161"/>
      <c r="I28" s="161"/>
      <c r="S28" s="69"/>
      <c r="T28" s="69"/>
    </row>
    <row r="30" spans="2:20" ht="18" x14ac:dyDescent="0.35">
      <c r="B30" s="70" t="s">
        <v>54</v>
      </c>
    </row>
    <row r="32" spans="2:20" x14ac:dyDescent="0.3">
      <c r="B32" s="46" t="s">
        <v>55</v>
      </c>
      <c r="J32" s="46" t="s">
        <v>56</v>
      </c>
    </row>
    <row r="34" spans="2:31" x14ac:dyDescent="0.3">
      <c r="B34" s="141" t="s">
        <v>57</v>
      </c>
      <c r="C34" s="142"/>
      <c r="D34" s="142"/>
      <c r="E34" s="143"/>
      <c r="F34" s="59">
        <f>IF(H5="MZ-VAV",H10*0.0015,H10*0.0011)</f>
        <v>12</v>
      </c>
    </row>
    <row r="35" spans="2:31" x14ac:dyDescent="0.3">
      <c r="B35" s="141" t="s">
        <v>58</v>
      </c>
      <c r="C35" s="142"/>
      <c r="D35" s="142"/>
      <c r="E35" s="143"/>
      <c r="F35" s="65">
        <f>SMALL($S$83:$S$107,COUNTIF($S$83:$S$107,"&lt;="&amp;F34))</f>
        <v>10</v>
      </c>
    </row>
    <row r="37" spans="2:31" ht="43.2" x14ac:dyDescent="0.3">
      <c r="B37" s="141" t="s">
        <v>59</v>
      </c>
      <c r="C37" s="142"/>
      <c r="D37" s="142"/>
      <c r="E37" s="143"/>
      <c r="F37" s="60" t="s">
        <v>60</v>
      </c>
      <c r="G37" s="60" t="s">
        <v>61</v>
      </c>
      <c r="H37" s="60" t="s">
        <v>62</v>
      </c>
      <c r="J37" s="180" t="s">
        <v>197</v>
      </c>
      <c r="K37" s="180"/>
      <c r="L37" s="180"/>
      <c r="M37" s="180"/>
      <c r="N37" s="180"/>
      <c r="O37" s="97" t="s">
        <v>64</v>
      </c>
      <c r="P37" s="64" t="s">
        <v>65</v>
      </c>
      <c r="Q37" s="60" t="s">
        <v>66</v>
      </c>
    </row>
    <row r="38" spans="2:31" ht="15" customHeight="1" x14ac:dyDescent="0.3">
      <c r="B38" s="138" t="s">
        <v>67</v>
      </c>
      <c r="C38" s="139"/>
      <c r="D38" s="139"/>
      <c r="E38" s="140"/>
      <c r="F38" s="38">
        <f>H10</f>
        <v>8000</v>
      </c>
      <c r="G38" s="39" t="s">
        <v>68</v>
      </c>
      <c r="H38" s="42">
        <f>IF(H5="MZ-VAV",F38*0.0013,F38*0.00094)</f>
        <v>10.4</v>
      </c>
      <c r="J38" s="153" t="s">
        <v>69</v>
      </c>
      <c r="K38" s="153"/>
      <c r="L38" s="153"/>
      <c r="M38" s="153"/>
      <c r="N38" s="153"/>
      <c r="O38" s="98">
        <f>H10</f>
        <v>8000</v>
      </c>
      <c r="P38" s="63">
        <f t="shared" ref="P38:P47" si="0">IF(AND(H$5="MZ-VAV",H$10&gt;10000),Y42,IF(AND(H$5="MZ-VAV",H$10&lt;=10000,H$10&gt;5000),Z42,IF(H$5="MZ-VAV",AA42,IF(H$10&gt;10000,AB42,IF(AND(H$10&lt;=10000,H$10&gt;5000),AC42,AD42)))))</f>
        <v>0.47247114743046226</v>
      </c>
      <c r="Q38" s="63">
        <f>O38*P38/1000</f>
        <v>3.7797691794436981</v>
      </c>
    </row>
    <row r="39" spans="2:31" ht="15" customHeight="1" x14ac:dyDescent="0.3">
      <c r="B39" s="138" t="s">
        <v>70</v>
      </c>
      <c r="C39" s="139"/>
      <c r="D39" s="139"/>
      <c r="E39" s="140"/>
      <c r="F39" s="38">
        <f>IF(F16=Y84,H16,0)</f>
        <v>0</v>
      </c>
      <c r="G39" s="40">
        <v>0.5</v>
      </c>
      <c r="H39" s="42">
        <f>G39*F39/4131</f>
        <v>0</v>
      </c>
      <c r="J39" s="153" t="s">
        <v>71</v>
      </c>
      <c r="K39" s="153"/>
      <c r="L39" s="153"/>
      <c r="M39" s="153"/>
      <c r="N39" s="153"/>
      <c r="O39" s="99">
        <f>IF(OR(F16=Y83,F16=Y84),H16,0)</f>
        <v>0</v>
      </c>
      <c r="P39" s="58">
        <f t="shared" si="0"/>
        <v>7.9265464074544267E-2</v>
      </c>
      <c r="Q39" s="58">
        <f t="shared" ref="Q39:Q49" si="1">O39*P39/1000</f>
        <v>0</v>
      </c>
      <c r="Z39" s="155" t="s">
        <v>72</v>
      </c>
      <c r="AA39" s="155"/>
      <c r="AB39" s="155"/>
      <c r="AC39" s="155" t="s">
        <v>73</v>
      </c>
      <c r="AD39" s="155"/>
      <c r="AE39" s="155"/>
    </row>
    <row r="40" spans="2:31" ht="15" customHeight="1" x14ac:dyDescent="0.3">
      <c r="B40" s="138" t="s">
        <v>74</v>
      </c>
      <c r="C40" s="139"/>
      <c r="D40" s="139"/>
      <c r="E40" s="140"/>
      <c r="F40" s="38">
        <f>IF(OR(F16=Y85,F16=Y86),H16,0)</f>
        <v>3000</v>
      </c>
      <c r="G40" s="40">
        <v>0.9</v>
      </c>
      <c r="H40" s="42">
        <f>G40*F40/4131</f>
        <v>0.65359477124183007</v>
      </c>
      <c r="J40" s="153" t="s">
        <v>75</v>
      </c>
      <c r="K40" s="153"/>
      <c r="L40" s="153"/>
      <c r="M40" s="153"/>
      <c r="N40" s="153"/>
      <c r="O40" s="99">
        <f>IF(F16=Y85,H16,0)</f>
        <v>3000</v>
      </c>
      <c r="P40" s="58">
        <f t="shared" si="0"/>
        <v>0.17662576240254202</v>
      </c>
      <c r="Q40" s="58">
        <f t="shared" si="1"/>
        <v>0.52987728720762606</v>
      </c>
      <c r="X40" t="s">
        <v>76</v>
      </c>
      <c r="Y40" s="120" t="s">
        <v>77</v>
      </c>
      <c r="Z40" s="120" t="s">
        <v>78</v>
      </c>
      <c r="AA40" s="120" t="s">
        <v>79</v>
      </c>
      <c r="AB40" s="120" t="s">
        <v>77</v>
      </c>
      <c r="AC40" s="120" t="s">
        <v>78</v>
      </c>
      <c r="AD40" s="120" t="s">
        <v>79</v>
      </c>
    </row>
    <row r="41" spans="2:31" ht="15" customHeight="1" x14ac:dyDescent="0.3">
      <c r="B41" s="138" t="s">
        <v>80</v>
      </c>
      <c r="C41" s="139"/>
      <c r="D41" s="139"/>
      <c r="E41" s="140"/>
      <c r="F41" s="73">
        <f>H21</f>
        <v>3000</v>
      </c>
      <c r="G41" s="40">
        <f>2.2*0.625-0.5</f>
        <v>0.875</v>
      </c>
      <c r="H41" s="74">
        <f t="shared" ref="H41:H45" si="2">G41*F41/4131</f>
        <v>0.635439360929557</v>
      </c>
      <c r="J41" s="153" t="s">
        <v>81</v>
      </c>
      <c r="K41" s="153"/>
      <c r="L41" s="153"/>
      <c r="M41" s="153"/>
      <c r="N41" s="153"/>
      <c r="O41" s="99">
        <f>IF(F16=Y86,H16,0)</f>
        <v>0</v>
      </c>
      <c r="P41" s="58">
        <f t="shared" si="0"/>
        <v>0.19590563731515243</v>
      </c>
      <c r="Q41" s="58">
        <f t="shared" si="1"/>
        <v>0</v>
      </c>
      <c r="R41" s="120"/>
      <c r="S41" s="120"/>
      <c r="T41" s="120"/>
      <c r="U41" s="120"/>
      <c r="V41" s="120"/>
    </row>
    <row r="42" spans="2:31" ht="15" customHeight="1" x14ac:dyDescent="0.3">
      <c r="B42" s="138" t="s">
        <v>82</v>
      </c>
      <c r="C42" s="139"/>
      <c r="D42" s="139"/>
      <c r="E42" s="140"/>
      <c r="F42" s="73">
        <f>I21</f>
        <v>2600</v>
      </c>
      <c r="G42" s="40">
        <v>0.875</v>
      </c>
      <c r="H42" s="74">
        <f t="shared" si="2"/>
        <v>0.55071411280561611</v>
      </c>
      <c r="J42" s="153" t="s">
        <v>44</v>
      </c>
      <c r="K42" s="153"/>
      <c r="L42" s="153"/>
      <c r="M42" s="153"/>
      <c r="N42" s="153"/>
      <c r="O42" s="99">
        <f>H17</f>
        <v>8000</v>
      </c>
      <c r="P42" s="58">
        <f t="shared" si="0"/>
        <v>0.11841599136629399</v>
      </c>
      <c r="Q42" s="58">
        <f t="shared" si="1"/>
        <v>0.94732793093035195</v>
      </c>
      <c r="R42" s="3"/>
      <c r="S42" s="3"/>
      <c r="T42" s="3"/>
      <c r="U42" s="3"/>
      <c r="V42" s="3"/>
      <c r="X42" t="s">
        <v>83</v>
      </c>
      <c r="Y42" s="30">
        <v>0.480042192663232</v>
      </c>
      <c r="Z42" s="30">
        <v>0.47247114743046226</v>
      </c>
      <c r="AA42" s="30">
        <v>0.41298194814204048</v>
      </c>
      <c r="AB42" s="30">
        <v>0.24829908242469739</v>
      </c>
      <c r="AC42" s="30">
        <v>0.26699447351984884</v>
      </c>
      <c r="AD42" s="30">
        <v>0.24303028515175154</v>
      </c>
    </row>
    <row r="43" spans="2:31" ht="15" customHeight="1" x14ac:dyDescent="0.3">
      <c r="B43" s="138" t="s">
        <v>84</v>
      </c>
      <c r="C43" s="139"/>
      <c r="D43" s="139"/>
      <c r="E43" s="140"/>
      <c r="F43" s="38">
        <f>IF(F17=X83,H10,0)</f>
        <v>0</v>
      </c>
      <c r="G43" s="40">
        <v>-0.6</v>
      </c>
      <c r="H43" s="42">
        <f t="shared" si="2"/>
        <v>0</v>
      </c>
      <c r="J43" s="153" t="s">
        <v>47</v>
      </c>
      <c r="K43" s="153"/>
      <c r="L43" s="153"/>
      <c r="M43" s="153"/>
      <c r="N43" s="153"/>
      <c r="O43" s="99">
        <f>H18</f>
        <v>0</v>
      </c>
      <c r="P43" s="58">
        <f t="shared" si="0"/>
        <v>4.970048602575472E-2</v>
      </c>
      <c r="Q43" s="58">
        <f t="shared" si="1"/>
        <v>0</v>
      </c>
      <c r="R43" s="3"/>
      <c r="S43" s="3"/>
      <c r="T43" s="3"/>
      <c r="U43" s="3"/>
      <c r="V43" s="3"/>
      <c r="X43" t="s">
        <v>85</v>
      </c>
      <c r="Y43" s="30">
        <v>7.3260688213430791E-2</v>
      </c>
      <c r="Z43" s="30">
        <v>7.9265464074544267E-2</v>
      </c>
      <c r="AA43" s="30">
        <v>9.394659388927229E-2</v>
      </c>
      <c r="AB43" s="30">
        <v>7.5394943815769111E-2</v>
      </c>
      <c r="AC43" s="30">
        <v>8.3644003518010157E-2</v>
      </c>
      <c r="AD43" s="30">
        <v>9.7212114060700655E-2</v>
      </c>
    </row>
    <row r="44" spans="2:31" ht="15" customHeight="1" x14ac:dyDescent="0.3">
      <c r="B44" s="138" t="s">
        <v>86</v>
      </c>
      <c r="C44" s="139"/>
      <c r="D44" s="139"/>
      <c r="E44" s="140"/>
      <c r="F44" s="38">
        <f>IF(AND(F18=X83,F19=X83,F20=X83),H10,0)</f>
        <v>0</v>
      </c>
      <c r="G44" s="40">
        <v>-0.3</v>
      </c>
      <c r="H44" s="42">
        <f t="shared" si="2"/>
        <v>0</v>
      </c>
      <c r="J44" s="153" t="s">
        <v>87</v>
      </c>
      <c r="K44" s="153"/>
      <c r="L44" s="153"/>
      <c r="M44" s="153"/>
      <c r="N44" s="153"/>
      <c r="O44" s="99">
        <f>H19</f>
        <v>8000</v>
      </c>
      <c r="P44" s="58">
        <f t="shared" si="0"/>
        <v>5.9575714976953242E-2</v>
      </c>
      <c r="Q44" s="58">
        <f t="shared" si="1"/>
        <v>0.47660571981562594</v>
      </c>
      <c r="R44" s="3"/>
      <c r="S44" s="3"/>
      <c r="T44" s="3"/>
      <c r="U44" s="3"/>
      <c r="V44" s="3"/>
      <c r="X44" t="s">
        <v>88</v>
      </c>
      <c r="Y44" s="30">
        <v>0.16544989147165456</v>
      </c>
      <c r="Z44" s="30">
        <v>0.17662576240254202</v>
      </c>
      <c r="AA44" s="30">
        <v>0.20986202636591322</v>
      </c>
      <c r="AB44" s="30">
        <v>0.16767207082659175</v>
      </c>
      <c r="AC44" s="30">
        <v>0.18543500810488656</v>
      </c>
      <c r="AD44" s="30">
        <v>0.21706458534324582</v>
      </c>
    </row>
    <row r="45" spans="2:31" ht="15" customHeight="1" x14ac:dyDescent="0.3">
      <c r="B45" s="138" t="s">
        <v>89</v>
      </c>
      <c r="C45" s="139"/>
      <c r="D45" s="139"/>
      <c r="E45" s="140"/>
      <c r="F45" s="38">
        <f>H20</f>
        <v>0</v>
      </c>
      <c r="G45" s="40">
        <v>-0.2</v>
      </c>
      <c r="H45" s="42">
        <f t="shared" si="2"/>
        <v>0</v>
      </c>
      <c r="J45" s="153" t="s">
        <v>51</v>
      </c>
      <c r="K45" s="153"/>
      <c r="L45" s="153"/>
      <c r="M45" s="153"/>
      <c r="N45" s="153"/>
      <c r="O45" s="99">
        <f>H20</f>
        <v>0</v>
      </c>
      <c r="P45" s="58">
        <f t="shared" si="0"/>
        <v>3.9804338915752746E-2</v>
      </c>
      <c r="Q45" s="58">
        <f t="shared" si="1"/>
        <v>0</v>
      </c>
      <c r="R45" s="3"/>
      <c r="S45" s="3"/>
      <c r="T45" s="3"/>
      <c r="U45" s="3"/>
      <c r="V45" s="3"/>
      <c r="X45" t="s">
        <v>90</v>
      </c>
      <c r="Y45" s="30">
        <v>0.18400785485257742</v>
      </c>
      <c r="Z45" s="30">
        <v>0.19590563731515243</v>
      </c>
      <c r="AA45" s="30">
        <v>0.23285256485146011</v>
      </c>
      <c r="AB45" s="30">
        <v>0.18599636767076033</v>
      </c>
      <c r="AC45" s="30">
        <v>0.20547667391061342</v>
      </c>
      <c r="AD45" s="30">
        <v>0.24051581279369563</v>
      </c>
    </row>
    <row r="46" spans="2:31" ht="15" customHeight="1" x14ac:dyDescent="0.3">
      <c r="B46" s="141" t="s">
        <v>91</v>
      </c>
      <c r="C46" s="142"/>
      <c r="D46" s="142"/>
      <c r="E46" s="143"/>
      <c r="F46" s="27"/>
      <c r="G46" s="9"/>
      <c r="H46" s="41">
        <f>SUM(H38:H45)</f>
        <v>12.239748244977003</v>
      </c>
      <c r="J46" s="153" t="s">
        <v>92</v>
      </c>
      <c r="K46" s="153"/>
      <c r="L46" s="153"/>
      <c r="M46" s="153"/>
      <c r="N46" s="153"/>
      <c r="O46" s="99">
        <f>H22</f>
        <v>5000</v>
      </c>
      <c r="P46" s="58">
        <f t="shared" si="0"/>
        <v>3.9804338915752746E-2</v>
      </c>
      <c r="Q46" s="58">
        <f t="shared" si="1"/>
        <v>0.19902169457876373</v>
      </c>
      <c r="R46" s="3"/>
      <c r="S46" s="3"/>
      <c r="T46" s="3"/>
      <c r="U46" s="3"/>
      <c r="V46" s="3"/>
      <c r="X46" t="s">
        <v>93</v>
      </c>
      <c r="Y46" s="30">
        <v>0.11002795027521339</v>
      </c>
      <c r="Z46" s="30">
        <v>0.11841599136629399</v>
      </c>
      <c r="AA46" s="30">
        <v>0.14050916740960107</v>
      </c>
      <c r="AB46" s="30">
        <v>0.11248346336634607</v>
      </c>
      <c r="AC46" s="30">
        <v>0.12469667468357742</v>
      </c>
      <c r="AD46" s="30">
        <v>0.14581817109105091</v>
      </c>
    </row>
    <row r="47" spans="2:31" ht="15" customHeight="1" x14ac:dyDescent="0.3">
      <c r="E47" s="68"/>
      <c r="F47" s="123"/>
      <c r="G47" s="69"/>
      <c r="J47" s="153" t="s">
        <v>94</v>
      </c>
      <c r="K47" s="153"/>
      <c r="L47" s="153"/>
      <c r="M47" s="153"/>
      <c r="N47" s="153"/>
      <c r="O47" s="99">
        <f>H21</f>
        <v>3000</v>
      </c>
      <c r="P47" s="58">
        <f t="shared" si="0"/>
        <v>0.16115925993539515</v>
      </c>
      <c r="Q47" s="58">
        <f t="shared" si="1"/>
        <v>0.48347777980618545</v>
      </c>
      <c r="R47" s="3"/>
      <c r="S47" s="3"/>
      <c r="T47" s="3"/>
      <c r="U47" s="3"/>
      <c r="V47" s="3"/>
      <c r="X47" t="s">
        <v>95</v>
      </c>
      <c r="Y47" s="30">
        <v>5.4919338675234686E-2</v>
      </c>
      <c r="Z47" s="30">
        <v>4.970048602575472E-2</v>
      </c>
      <c r="AA47" s="30">
        <v>4.7112922352956887E-2</v>
      </c>
      <c r="AB47" s="30">
        <v>5.6722001193823923E-2</v>
      </c>
      <c r="AC47" s="30">
        <v>5.2530353108128813E-2</v>
      </c>
      <c r="AD47" s="30">
        <v>4.8606057030350286E-2</v>
      </c>
    </row>
    <row r="48" spans="2:31" ht="15" customHeight="1" x14ac:dyDescent="0.3">
      <c r="E48" s="68"/>
      <c r="F48" s="123"/>
      <c r="G48" s="69"/>
      <c r="J48" s="153" t="s">
        <v>96</v>
      </c>
      <c r="K48" s="153"/>
      <c r="L48" s="153"/>
      <c r="M48" s="153"/>
      <c r="N48" s="153"/>
      <c r="O48" s="99">
        <f>H23</f>
        <v>0</v>
      </c>
      <c r="P48" s="58">
        <f>IF(AND(H$5="MZ-VAV",O$38&gt;10000),Y52,IF(AND(H$5="MZ-VAV",O$38&lt;=10000,O$38&gt;5000),Z52,IF(H$5="MZ-VAV",AA52,IF(O$38&gt;10000,AB52,IF(AND(O$38&lt;=10000,O$38&gt;5000),AC52,AD52)))))</f>
        <v>3.9804338915752746E-2</v>
      </c>
      <c r="Q48" s="58">
        <f t="shared" si="1"/>
        <v>0</v>
      </c>
      <c r="R48" s="3"/>
      <c r="S48" s="3"/>
      <c r="T48" s="3"/>
      <c r="U48" s="3"/>
      <c r="V48" s="3"/>
      <c r="X48" t="s">
        <v>97</v>
      </c>
      <c r="Y48" s="30">
        <v>7.3260688213430791E-2</v>
      </c>
      <c r="Z48" s="30">
        <v>5.9575714976953242E-2</v>
      </c>
      <c r="AA48" s="30">
        <v>7.0564149803406695E-2</v>
      </c>
      <c r="AB48" s="30">
        <v>7.5394943815769111E-2</v>
      </c>
      <c r="AC48" s="30">
        <v>6.2933824902511093E-2</v>
      </c>
      <c r="AD48" s="30">
        <v>6.0757571287937878E-2</v>
      </c>
    </row>
    <row r="49" spans="2:30" ht="15" customHeight="1" x14ac:dyDescent="0.3">
      <c r="E49" s="173"/>
      <c r="F49" s="175" t="s">
        <v>102</v>
      </c>
      <c r="G49" s="171" t="s">
        <v>198</v>
      </c>
      <c r="J49" s="153" t="s">
        <v>98</v>
      </c>
      <c r="K49" s="153"/>
      <c r="L49" s="153"/>
      <c r="M49" s="153"/>
      <c r="N49" s="153"/>
      <c r="O49" s="99">
        <f>H24</f>
        <v>0</v>
      </c>
      <c r="P49" s="58">
        <f>IF(AND(H$5="MZ-VAV",O$38&gt;10000),Y53,IF(AND(H$5="MZ-VAV",O$38&lt;=10000,O$38&gt;5000),Z53,IF(H$5="MZ-VAV",AA53,IF(O$38&gt;10000,AB53,IF(AND(O$38&lt;=10000,O$38&gt;5000),AC53,AD53)))))</f>
        <v>0</v>
      </c>
      <c r="Q49" s="58">
        <f t="shared" si="1"/>
        <v>0</v>
      </c>
      <c r="R49" s="3"/>
      <c r="S49" s="3"/>
      <c r="T49" s="3"/>
      <c r="U49" s="3"/>
      <c r="V49" s="3"/>
      <c r="X49" t="s">
        <v>99</v>
      </c>
      <c r="Y49" s="30">
        <v>3.6599443526147635E-2</v>
      </c>
      <c r="Z49" s="30">
        <v>3.9804338915752746E-2</v>
      </c>
      <c r="AA49" s="30">
        <v>4.7112922352956887E-2</v>
      </c>
      <c r="AB49" s="30">
        <v>3.7943122962558362E-2</v>
      </c>
      <c r="AC49" s="30">
        <v>4.2093671181094416E-2</v>
      </c>
      <c r="AD49" s="30">
        <v>4.8606057030350286E-2</v>
      </c>
    </row>
    <row r="50" spans="2:30" ht="15" customHeight="1" x14ac:dyDescent="0.3">
      <c r="B50" s="46" t="s">
        <v>203</v>
      </c>
      <c r="E50" s="173"/>
      <c r="F50" s="175"/>
      <c r="G50" s="171"/>
      <c r="N50" s="118"/>
      <c r="P50" s="118" t="s">
        <v>100</v>
      </c>
      <c r="Q50" s="58">
        <f>SUM(Q38:Q49)</f>
        <v>6.4160795917822515</v>
      </c>
      <c r="R50" s="3"/>
      <c r="S50" s="3"/>
      <c r="T50" s="3"/>
      <c r="U50" s="3"/>
      <c r="V50" s="3"/>
      <c r="X50" t="s">
        <v>101</v>
      </c>
      <c r="Y50" s="30">
        <v>3.6599443526147635E-2</v>
      </c>
      <c r="Z50" s="30">
        <v>3.9804338915752746E-2</v>
      </c>
      <c r="AA50" s="30">
        <v>4.7112922352956887E-2</v>
      </c>
      <c r="AB50" s="30">
        <v>3.7943122962558362E-2</v>
      </c>
      <c r="AC50" s="30">
        <v>4.2093671181094416E-2</v>
      </c>
      <c r="AD50" s="30">
        <v>4.8606057030350286E-2</v>
      </c>
    </row>
    <row r="51" spans="2:30" ht="15" customHeight="1" x14ac:dyDescent="0.3">
      <c r="E51" s="174"/>
      <c r="F51" s="176"/>
      <c r="G51" s="172"/>
      <c r="R51" s="3"/>
      <c r="S51" s="3"/>
      <c r="T51" s="3"/>
      <c r="U51" s="3"/>
      <c r="V51" s="3"/>
      <c r="X51" t="s">
        <v>103</v>
      </c>
      <c r="Y51" s="30">
        <v>0.15063497043753737</v>
      </c>
      <c r="Z51" s="30">
        <v>0.16115925993539515</v>
      </c>
      <c r="AA51" s="30">
        <v>0.19142434786833451</v>
      </c>
      <c r="AB51" s="30">
        <v>0.15299240099749306</v>
      </c>
      <c r="AC51" s="30">
        <v>0.16933058830993714</v>
      </c>
      <c r="AD51" s="30">
        <v>0.19825339044193654</v>
      </c>
    </row>
    <row r="52" spans="2:30" ht="15" customHeight="1" x14ac:dyDescent="0.3">
      <c r="B52" s="138" t="s">
        <v>104</v>
      </c>
      <c r="C52" s="139"/>
      <c r="D52" s="139"/>
      <c r="E52" s="140"/>
      <c r="F52" s="122" t="s">
        <v>45</v>
      </c>
      <c r="G52" s="122" t="s">
        <v>38</v>
      </c>
      <c r="J52" s="153" t="s">
        <v>105</v>
      </c>
      <c r="K52" s="153"/>
      <c r="L52" s="153"/>
      <c r="M52" s="153"/>
      <c r="N52" s="153"/>
      <c r="O52" s="124">
        <f>I10</f>
        <v>7600</v>
      </c>
      <c r="P52" s="58">
        <f>IF(AND(H$5="MZ-VAV",O$52&gt;10000),Y56,IF(AND(H$5="MZ-VAV",O$52&lt;=10000,O$52&gt;5000),Z56,IF(H$5="MZ-VAV",AA56,IF(O$52&gt;10000,AB56,IF(AND(O$52&lt;=10000,O$52&gt;5000),AC56,AD56)))))</f>
        <v>0.25638049206396912</v>
      </c>
      <c r="Q52" s="58">
        <f t="shared" ref="Q52:Q54" si="3">O52*P52/1000</f>
        <v>1.9484917396861654</v>
      </c>
      <c r="R52" s="3"/>
      <c r="S52" s="3"/>
      <c r="T52" s="3"/>
      <c r="U52" s="3"/>
      <c r="V52" s="3"/>
      <c r="X52" t="s">
        <v>106</v>
      </c>
      <c r="Y52" s="30">
        <v>3.6599443526147635E-2</v>
      </c>
      <c r="Z52" s="30">
        <v>3.9804338915752746E-2</v>
      </c>
      <c r="AA52" s="30">
        <v>4.7112922352956887E-2</v>
      </c>
      <c r="AB52" s="30">
        <v>3.7943122962558362E-2</v>
      </c>
      <c r="AC52" s="30">
        <v>4.2093671181094416E-2</v>
      </c>
      <c r="AD52" s="30">
        <v>4.8606057030350286E-2</v>
      </c>
    </row>
    <row r="53" spans="2:30" ht="15" customHeight="1" x14ac:dyDescent="0.3">
      <c r="B53" s="138" t="s">
        <v>107</v>
      </c>
      <c r="C53" s="139"/>
      <c r="D53" s="139"/>
      <c r="E53" s="140"/>
      <c r="F53" s="45" cm="1">
        <f t="array" ref="F53">INDEX($S$83:$S$107,MATCH(TRUE,$S$83:$S$107&gt;=F54,0)+IF(F52=$X$84,1,IF(F52=X$85,2,0)))</f>
        <v>15</v>
      </c>
      <c r="G53" s="45" cm="1">
        <f t="array" ref="G53">INDEX($S$83:$S$107,MATCH(TRUE,$S$83:$S$107&gt;=G54,0)+IF(G52=$X$84,1,IF(G52=X$85,2,0)))</f>
        <v>3</v>
      </c>
      <c r="J53" s="153" t="s">
        <v>108</v>
      </c>
      <c r="K53" s="153"/>
      <c r="L53" s="153"/>
      <c r="M53" s="153"/>
      <c r="N53" s="153"/>
      <c r="O53" s="124">
        <f>I25</f>
        <v>7600</v>
      </c>
      <c r="P53" s="58">
        <f>IF(AND(H$5="MZ-VAV",O$52&gt;10000),Y57,IF(AND(H$5="MZ-VAV",O$52&lt;=10000,O$52&gt;5000),Z57,IF(H$5="MZ-VAV",AA57,IF(O$52&gt;10000,AB57,IF(AND(O$52&lt;=10000,O$52&gt;5000),AC57,AD57)))))</f>
        <v>4.223702834128551E-2</v>
      </c>
      <c r="Q53" s="58">
        <f t="shared" si="3"/>
        <v>0.32100141539376986</v>
      </c>
      <c r="R53" s="3"/>
      <c r="S53" s="3"/>
      <c r="T53" s="3"/>
      <c r="U53" s="3"/>
      <c r="V53" s="3"/>
      <c r="X53" t="s">
        <v>109</v>
      </c>
      <c r="Y53" s="30">
        <v>0</v>
      </c>
      <c r="Z53" s="30">
        <v>0</v>
      </c>
      <c r="AA53" s="30">
        <v>0</v>
      </c>
      <c r="AB53" s="30">
        <v>9.3977336369995002E-2</v>
      </c>
      <c r="AC53" s="30">
        <v>0.10422981466087722</v>
      </c>
      <c r="AD53" s="30">
        <v>7.2909085545525415E-2</v>
      </c>
    </row>
    <row r="54" spans="2:30" ht="15" customHeight="1" x14ac:dyDescent="0.3">
      <c r="B54" s="138" t="s">
        <v>110</v>
      </c>
      <c r="C54" s="139"/>
      <c r="D54" s="139"/>
      <c r="E54" s="140"/>
      <c r="F54" s="42">
        <f>H46-H11*H46</f>
        <v>9.7917985959816018</v>
      </c>
      <c r="G54" s="42">
        <f>H46-F54</f>
        <v>2.4479496489954009</v>
      </c>
      <c r="J54" s="153" t="s">
        <v>111</v>
      </c>
      <c r="K54" s="153"/>
      <c r="L54" s="153"/>
      <c r="M54" s="153"/>
      <c r="N54" s="153"/>
      <c r="O54" s="124">
        <f>I21</f>
        <v>2600</v>
      </c>
      <c r="P54" s="58">
        <f>IF(AND(H$5="MZ-VAV",O$52&gt;10000),Y58,IF(AND(H$5="MZ-VAV",O$52&lt;=10000,O$52&gt;5000),Z58,IF(H$5="MZ-VAV",AA58,IF(O$52&gt;10000,AB58,IF(AND(O$52&lt;=10000,O$52&gt;5000),AC58,AD58)))))</f>
        <v>0.16984605045288526</v>
      </c>
      <c r="Q54" s="58">
        <f t="shared" si="3"/>
        <v>0.44159973117750168</v>
      </c>
      <c r="R54" s="3"/>
      <c r="S54" s="3"/>
      <c r="T54" s="3"/>
      <c r="U54" s="3"/>
      <c r="V54" s="3"/>
      <c r="Y54" s="30"/>
      <c r="Z54" s="30"/>
      <c r="AA54" s="30"/>
      <c r="AB54" s="30"/>
      <c r="AC54" s="30"/>
      <c r="AD54" s="30"/>
    </row>
    <row r="55" spans="2:30" ht="15" customHeight="1" x14ac:dyDescent="0.3">
      <c r="B55" s="138" t="s">
        <v>112</v>
      </c>
      <c r="C55" s="139"/>
      <c r="D55" s="139"/>
      <c r="E55" s="140"/>
      <c r="F55" s="52" t="s">
        <v>113</v>
      </c>
      <c r="G55" s="53" t="s">
        <v>113</v>
      </c>
      <c r="P55" s="118" t="s">
        <v>199</v>
      </c>
      <c r="Q55" s="58">
        <f>SUM(Q52:Q54)</f>
        <v>2.7110928862574371</v>
      </c>
      <c r="T55" s="30"/>
      <c r="U55" s="30"/>
      <c r="V55" s="30"/>
      <c r="W55" s="30"/>
      <c r="X55" s="30"/>
      <c r="Y55" s="30"/>
    </row>
    <row r="56" spans="2:30" ht="15" customHeight="1" x14ac:dyDescent="0.3">
      <c r="B56" s="138" t="s">
        <v>115</v>
      </c>
      <c r="C56" s="139"/>
      <c r="D56" s="139"/>
      <c r="E56" s="140"/>
      <c r="F56" s="67">
        <v>4</v>
      </c>
      <c r="G56" s="67">
        <v>4</v>
      </c>
      <c r="R56" s="3"/>
      <c r="S56" s="3"/>
      <c r="T56" s="3"/>
      <c r="U56" s="3"/>
      <c r="V56" s="3"/>
      <c r="W56" s="3"/>
      <c r="X56" t="s">
        <v>116</v>
      </c>
      <c r="Y56" s="30">
        <v>0.24829908242469739</v>
      </c>
      <c r="Z56" s="30">
        <v>0.25638049206396912</v>
      </c>
      <c r="AA56" s="30">
        <v>0.23087877089416395</v>
      </c>
      <c r="AB56" s="30">
        <v>0.19995070684515945</v>
      </c>
      <c r="AC56" s="30">
        <v>0.19187363677673422</v>
      </c>
      <c r="AD56" s="30">
        <v>0.19442422812140123</v>
      </c>
    </row>
    <row r="57" spans="2:30" ht="15" customHeight="1" x14ac:dyDescent="0.3">
      <c r="B57" s="138" t="s">
        <v>117</v>
      </c>
      <c r="C57" s="139"/>
      <c r="D57" s="139"/>
      <c r="E57" s="140"/>
      <c r="F57" s="54">
        <f>N100</f>
        <v>0.89585523452940963</v>
      </c>
      <c r="G57" s="54">
        <f>IF(G53&gt;1,N121,"N/A")</f>
        <v>0.81398304224841833</v>
      </c>
      <c r="J57" s="153" t="s">
        <v>118</v>
      </c>
      <c r="K57" s="153"/>
      <c r="L57" s="153"/>
      <c r="M57" s="153"/>
      <c r="N57" s="153"/>
      <c r="O57" s="153"/>
      <c r="P57" s="153"/>
      <c r="Q57" s="90">
        <f>Q50+Q55</f>
        <v>9.1271724780396895</v>
      </c>
      <c r="R57" s="3"/>
      <c r="S57" s="3"/>
      <c r="T57" s="3"/>
      <c r="U57" s="3"/>
      <c r="V57" s="3"/>
      <c r="W57" s="3"/>
      <c r="X57" t="s">
        <v>119</v>
      </c>
      <c r="Y57" s="30">
        <v>3.7943122962558362E-2</v>
      </c>
      <c r="Z57" s="30">
        <v>4.223702834128551E-2</v>
      </c>
      <c r="AA57" s="30">
        <v>4.860605703035023E-2</v>
      </c>
      <c r="AB57" s="30">
        <v>3.8768919240608907E-2</v>
      </c>
      <c r="AC57" s="30">
        <v>4.3164661719191783E-2</v>
      </c>
      <c r="AD57" s="30">
        <v>4.8606057030350314E-2</v>
      </c>
    </row>
    <row r="58" spans="2:30" ht="15" customHeight="1" x14ac:dyDescent="0.3">
      <c r="B58" s="138" t="s">
        <v>120</v>
      </c>
      <c r="C58" s="139"/>
      <c r="D58" s="139"/>
      <c r="E58" s="140"/>
      <c r="F58" s="41">
        <f>M100</f>
        <v>8.1505849735410294</v>
      </c>
      <c r="G58" s="41">
        <f>IF(I10&gt;1,M121,0)</f>
        <v>2.2425971531465496</v>
      </c>
      <c r="J58" s="153" t="s">
        <v>121</v>
      </c>
      <c r="K58" s="153"/>
      <c r="L58" s="153"/>
      <c r="M58" s="153"/>
      <c r="N58" s="153"/>
      <c r="O58" s="153"/>
      <c r="P58" s="153"/>
      <c r="Q58" s="90">
        <f>F58+G58</f>
        <v>10.393182126687579</v>
      </c>
      <c r="R58" s="3"/>
      <c r="S58" s="3"/>
      <c r="T58" s="3"/>
      <c r="U58" s="3"/>
      <c r="V58" s="3"/>
      <c r="W58" s="3"/>
      <c r="X58" t="s">
        <v>103</v>
      </c>
      <c r="Y58" s="30">
        <v>0.15299240099749306</v>
      </c>
      <c r="Z58" s="30">
        <v>0.16984605045288526</v>
      </c>
      <c r="AA58" s="30">
        <v>0.19862498403696757</v>
      </c>
      <c r="AB58" s="30">
        <v>0.15528720077088912</v>
      </c>
      <c r="AC58" s="30">
        <v>0.17318764075960427</v>
      </c>
      <c r="AD58" s="30">
        <v>0.19928483382443626</v>
      </c>
    </row>
    <row r="59" spans="2:30" ht="15" customHeight="1" x14ac:dyDescent="0.3">
      <c r="B59" s="138" t="s">
        <v>122</v>
      </c>
      <c r="C59" s="139"/>
      <c r="D59" s="139"/>
      <c r="E59" s="140"/>
      <c r="F59" s="55">
        <f>(F58*1000)/H10</f>
        <v>1.0188231216926287</v>
      </c>
      <c r="G59" s="55">
        <f>IF(I10&gt;1,(G58*1000)/I10,0)</f>
        <v>0.29507857278244076</v>
      </c>
      <c r="J59" s="153" t="s">
        <v>123</v>
      </c>
      <c r="K59" s="153"/>
      <c r="L59" s="153"/>
      <c r="M59" s="153"/>
      <c r="N59" s="153"/>
      <c r="O59" s="153"/>
      <c r="P59" s="153"/>
      <c r="Q59" s="91">
        <f>1-(Q57/Q58)</f>
        <v>0.12181155234420782</v>
      </c>
    </row>
    <row r="64" spans="2:30" x14ac:dyDescent="0.3">
      <c r="Y64" s="48"/>
    </row>
    <row r="65" spans="5:30" x14ac:dyDescent="0.3">
      <c r="Y65" s="30"/>
      <c r="Z65" s="30"/>
      <c r="AA65" s="30"/>
      <c r="AB65" s="30"/>
      <c r="AC65" s="30"/>
      <c r="AD65" s="30"/>
    </row>
    <row r="66" spans="5:30" ht="14.4" customHeight="1" x14ac:dyDescent="0.3">
      <c r="Y66" s="30"/>
      <c r="Z66" s="30"/>
      <c r="AA66" s="30"/>
      <c r="AB66" s="30"/>
      <c r="AC66" s="30"/>
      <c r="AD66" s="30"/>
    </row>
    <row r="67" spans="5:30" x14ac:dyDescent="0.3">
      <c r="Y67" s="30"/>
      <c r="Z67" s="30"/>
      <c r="AA67" s="30"/>
      <c r="AB67" s="30"/>
      <c r="AC67" s="30"/>
      <c r="AD67" s="30"/>
    </row>
    <row r="68" spans="5:30" x14ac:dyDescent="0.3">
      <c r="Y68" s="30"/>
      <c r="Z68" s="30"/>
      <c r="AA68" s="30"/>
      <c r="AB68" s="30"/>
      <c r="AC68" s="30"/>
      <c r="AD68" s="30"/>
    </row>
    <row r="69" spans="5:30" x14ac:dyDescent="0.3">
      <c r="Y69" s="30"/>
      <c r="Z69" s="30"/>
      <c r="AA69" s="30"/>
      <c r="AB69" s="30"/>
      <c r="AC69" s="30"/>
      <c r="AD69" s="30"/>
    </row>
    <row r="70" spans="5:30" x14ac:dyDescent="0.3">
      <c r="Y70" s="30"/>
      <c r="Z70" s="30"/>
      <c r="AA70" s="30"/>
      <c r="AB70" s="30"/>
      <c r="AC70" s="30"/>
      <c r="AD70" s="30"/>
    </row>
    <row r="71" spans="5:30" x14ac:dyDescent="0.3">
      <c r="Y71" s="30"/>
      <c r="Z71" s="30"/>
      <c r="AA71" s="30"/>
      <c r="AB71" s="30"/>
      <c r="AC71" s="30"/>
      <c r="AD71" s="30"/>
    </row>
    <row r="74" spans="5:30" x14ac:dyDescent="0.3">
      <c r="E74" s="56"/>
    </row>
    <row r="75" spans="5:30" x14ac:dyDescent="0.3">
      <c r="E75" s="47"/>
    </row>
    <row r="76" spans="5:30" x14ac:dyDescent="0.3">
      <c r="E76" s="47"/>
    </row>
    <row r="77" spans="5:30" x14ac:dyDescent="0.3">
      <c r="E77" s="47"/>
    </row>
    <row r="78" spans="5:30" x14ac:dyDescent="0.3">
      <c r="E78" s="47"/>
    </row>
    <row r="79" spans="5:30" x14ac:dyDescent="0.3">
      <c r="E79" s="47"/>
    </row>
    <row r="80" spans="5:30" x14ac:dyDescent="0.3">
      <c r="E80" s="47"/>
    </row>
    <row r="81" spans="3:25" x14ac:dyDescent="0.3">
      <c r="C81" s="46" t="s">
        <v>124</v>
      </c>
      <c r="E81" s="47"/>
      <c r="U81" s="46" t="s">
        <v>125</v>
      </c>
    </row>
    <row r="82" spans="3:25" ht="43.8" x14ac:dyDescent="0.35">
      <c r="E82" s="4" t="s">
        <v>126</v>
      </c>
      <c r="F82" s="4"/>
      <c r="G82" s="4"/>
      <c r="H82" s="4"/>
      <c r="I82" s="4"/>
      <c r="J82" s="4"/>
      <c r="K82" s="4"/>
      <c r="L82" s="4"/>
      <c r="M82" s="88"/>
      <c r="N82" s="105" t="s">
        <v>127</v>
      </c>
      <c r="O82" s="105" t="s">
        <v>128</v>
      </c>
      <c r="P82" s="105" t="s">
        <v>129</v>
      </c>
      <c r="Q82" s="105" t="s">
        <v>130</v>
      </c>
      <c r="R82" s="105" t="s">
        <v>131</v>
      </c>
      <c r="S82" s="105" t="s">
        <v>132</v>
      </c>
      <c r="T82" s="105" t="s">
        <v>133</v>
      </c>
      <c r="U82" s="5" t="s">
        <v>134</v>
      </c>
      <c r="V82" s="5" t="s">
        <v>135</v>
      </c>
      <c r="W82" s="5" t="s">
        <v>136</v>
      </c>
      <c r="X82" s="5" t="s">
        <v>137</v>
      </c>
      <c r="Y82" s="5" t="s">
        <v>138</v>
      </c>
    </row>
    <row r="83" spans="3:25" x14ac:dyDescent="0.3">
      <c r="E83" s="148" t="s">
        <v>113</v>
      </c>
      <c r="F83" s="149"/>
      <c r="G83" s="149"/>
      <c r="H83" s="150"/>
      <c r="I83" s="92" t="s">
        <v>139</v>
      </c>
      <c r="J83" s="93"/>
      <c r="K83" s="93"/>
      <c r="L83" s="94"/>
      <c r="N83" s="118">
        <v>460</v>
      </c>
      <c r="O83" s="118" t="s">
        <v>113</v>
      </c>
      <c r="P83" s="118" t="s">
        <v>140</v>
      </c>
      <c r="Q83" s="118">
        <v>2</v>
      </c>
      <c r="R83" s="118">
        <v>0</v>
      </c>
      <c r="S83" s="118">
        <v>1</v>
      </c>
      <c r="T83">
        <v>2</v>
      </c>
      <c r="U83" t="s">
        <v>141</v>
      </c>
      <c r="V83" t="s">
        <v>142</v>
      </c>
      <c r="W83" t="s">
        <v>21</v>
      </c>
      <c r="X83" t="s">
        <v>38</v>
      </c>
      <c r="Y83" t="s">
        <v>43</v>
      </c>
    </row>
    <row r="84" spans="3:25" x14ac:dyDescent="0.3">
      <c r="C84" s="6"/>
      <c r="D84" s="33" t="s">
        <v>143</v>
      </c>
      <c r="E84" s="119" t="s">
        <v>144</v>
      </c>
      <c r="F84" s="119" t="s">
        <v>145</v>
      </c>
      <c r="G84" s="119" t="s">
        <v>146</v>
      </c>
      <c r="H84" s="119" t="s">
        <v>147</v>
      </c>
      <c r="I84" s="119" t="s">
        <v>144</v>
      </c>
      <c r="J84" s="119" t="s">
        <v>145</v>
      </c>
      <c r="K84" s="119" t="s">
        <v>146</v>
      </c>
      <c r="L84" s="119" t="s">
        <v>148</v>
      </c>
      <c r="N84" s="118">
        <v>230</v>
      </c>
      <c r="O84" s="118" t="s">
        <v>139</v>
      </c>
      <c r="P84" s="118" t="s">
        <v>40</v>
      </c>
      <c r="Q84" s="118">
        <v>4</v>
      </c>
      <c r="R84" s="118">
        <v>1</v>
      </c>
      <c r="S84" s="118">
        <v>1.5</v>
      </c>
      <c r="T84">
        <v>4</v>
      </c>
      <c r="U84" t="s">
        <v>149</v>
      </c>
      <c r="V84" t="s">
        <v>150</v>
      </c>
      <c r="W84" t="s">
        <v>22</v>
      </c>
      <c r="X84" t="s">
        <v>45</v>
      </c>
      <c r="Y84" t="s">
        <v>151</v>
      </c>
    </row>
    <row r="85" spans="3:25" x14ac:dyDescent="0.3">
      <c r="C85" s="6"/>
      <c r="D85" s="7"/>
      <c r="E85" s="9">
        <f>VLOOKUP($D$87,constantsHP!$A$4:$I$28,2)/100</f>
        <v>0.90200000000000002</v>
      </c>
      <c r="F85" s="9">
        <f>VLOOKUP($D$87,constantsHP!$A$4:$I$28,3)/100</f>
        <v>0.93</v>
      </c>
      <c r="G85" s="9">
        <f>VLOOKUP($D$87,constantsHP!$A$4:$I$28,4)/100</f>
        <v>0.91700000000000004</v>
      </c>
      <c r="H85" s="9">
        <f>VLOOKUP($D$87,constantsHP!$A$4:$I$28,5)/100</f>
        <v>0.90200000000000002</v>
      </c>
      <c r="I85" s="9">
        <f>VLOOKUP($D$87,constantsHP!$A$4:$I$28,6)/100</f>
        <v>0.91</v>
      </c>
      <c r="J85" s="9">
        <f>VLOOKUP($D$87,constantsHP!$A$4:$I$28,7)/100</f>
        <v>0.92400000000000004</v>
      </c>
      <c r="K85" s="9">
        <f>VLOOKUP($D$87,constantsHP!$A$4:$I$28,8)/100</f>
        <v>0.91700000000000004</v>
      </c>
      <c r="L85" s="9">
        <f>VLOOKUP($D$87,constantsHP!$A$4:$I$28,9)/100</f>
        <v>0.875</v>
      </c>
      <c r="N85" s="118">
        <v>575</v>
      </c>
      <c r="O85" s="118"/>
      <c r="P85" s="118" t="s">
        <v>152</v>
      </c>
      <c r="Q85" s="118">
        <v>6</v>
      </c>
      <c r="R85" s="118">
        <v>2</v>
      </c>
      <c r="S85" s="118">
        <v>2</v>
      </c>
      <c r="T85">
        <v>6</v>
      </c>
      <c r="W85" t="s">
        <v>20</v>
      </c>
      <c r="X85" t="s">
        <v>200</v>
      </c>
      <c r="Y85" t="s">
        <v>153</v>
      </c>
    </row>
    <row r="86" spans="3:25" x14ac:dyDescent="0.3">
      <c r="C86" s="33" t="s">
        <v>154</v>
      </c>
      <c r="D86" s="7">
        <v>1</v>
      </c>
      <c r="N86" s="118">
        <v>208</v>
      </c>
      <c r="O86" s="118"/>
      <c r="P86" s="118" t="s">
        <v>155</v>
      </c>
      <c r="Q86" s="118">
        <v>8</v>
      </c>
      <c r="R86" s="118">
        <v>3</v>
      </c>
      <c r="S86" s="118">
        <v>3</v>
      </c>
      <c r="T86">
        <v>8</v>
      </c>
      <c r="Y86" t="s">
        <v>156</v>
      </c>
    </row>
    <row r="87" spans="3:25" x14ac:dyDescent="0.3">
      <c r="C87" s="33" t="s">
        <v>157</v>
      </c>
      <c r="D87" s="31">
        <f>F53</f>
        <v>15</v>
      </c>
      <c r="E87" s="151" t="s">
        <v>158</v>
      </c>
      <c r="F87" s="148" t="s">
        <v>159</v>
      </c>
      <c r="G87" s="150"/>
      <c r="H87" s="119" t="s">
        <v>160</v>
      </c>
      <c r="I87" s="119"/>
      <c r="J87" s="89" t="s">
        <v>161</v>
      </c>
      <c r="K87" s="89"/>
      <c r="N87" s="118"/>
      <c r="O87" s="118"/>
      <c r="P87" s="118"/>
      <c r="Q87" s="118"/>
      <c r="R87" s="118">
        <v>4</v>
      </c>
      <c r="S87" s="118">
        <v>5</v>
      </c>
    </row>
    <row r="88" spans="3:25" x14ac:dyDescent="0.3">
      <c r="C88" s="33" t="s">
        <v>162</v>
      </c>
      <c r="D88" s="31">
        <f>F54</f>
        <v>9.7917985959816018</v>
      </c>
      <c r="E88" s="152"/>
      <c r="F88" s="125" t="s">
        <v>163</v>
      </c>
      <c r="G88" s="125" t="s">
        <v>164</v>
      </c>
      <c r="H88" s="125" t="s">
        <v>163</v>
      </c>
      <c r="I88" s="125" t="s">
        <v>164</v>
      </c>
      <c r="J88" s="125" t="s">
        <v>163</v>
      </c>
      <c r="K88" s="125" t="s">
        <v>164</v>
      </c>
      <c r="N88" s="118"/>
      <c r="O88" s="118"/>
      <c r="P88" s="118"/>
      <c r="Q88" s="118"/>
      <c r="R88" s="118">
        <v>5</v>
      </c>
      <c r="S88" s="118">
        <v>7.5</v>
      </c>
    </row>
    <row r="89" spans="3:25" x14ac:dyDescent="0.3">
      <c r="C89" s="33" t="s">
        <v>165</v>
      </c>
      <c r="D89" s="35" t="str">
        <f>F55</f>
        <v>ODP</v>
      </c>
      <c r="E89" s="10" t="s">
        <v>166</v>
      </c>
      <c r="F89" s="9">
        <f>VLOOKUP($D$87,constantsHP!$K$4:$Q$28,2)</f>
        <v>1.0303500000000001</v>
      </c>
      <c r="G89" s="9">
        <f>VLOOKUP($D$87,constantsHP!$K$4:$Q$28,3)</f>
        <v>6.4099999999999999E-3</v>
      </c>
      <c r="H89" s="9">
        <f>VLOOKUP($D$87,constantsHP!$K$4:$Q$28,4)</f>
        <v>1.03443</v>
      </c>
      <c r="I89" s="9">
        <f>VLOOKUP($D$87,constantsHP!$K$4:$Q$28,5)</f>
        <v>9.9600000000000001E-3</v>
      </c>
      <c r="J89" s="9">
        <f>VLOOKUP($D$87,constantsHP!$K$4:$Q$28,6)</f>
        <v>1.0358799999999999</v>
      </c>
      <c r="K89" s="9">
        <f>VLOOKUP($D$87,constantsHP!$K$4:$Q$28,7)</f>
        <v>1.1209999999999999E-2</v>
      </c>
      <c r="N89" s="118"/>
      <c r="O89" s="118"/>
      <c r="P89" s="118"/>
      <c r="Q89" s="118"/>
      <c r="R89" s="118">
        <v>6</v>
      </c>
      <c r="S89" s="118">
        <v>10</v>
      </c>
    </row>
    <row r="90" spans="3:25" x14ac:dyDescent="0.3">
      <c r="C90" s="33"/>
      <c r="D90" s="7"/>
      <c r="E90" s="10" t="s">
        <v>167</v>
      </c>
      <c r="F90" s="9">
        <f>VLOOKUP($D$87,constantsHP!$Z$4:$AF$28,2)</f>
        <v>1.0781099999999999</v>
      </c>
      <c r="G90" s="9">
        <f>VLOOKUP($D$87,constantsHP!$Z$4:$AF$28,3)</f>
        <v>3.3680000000000002E-2</v>
      </c>
      <c r="H90" s="9">
        <f>VLOOKUP($D$87,constantsHP!$Z$4:$AF$28,4)</f>
        <v>1.0712699999999999</v>
      </c>
      <c r="I90" s="9">
        <f>VLOOKUP($D$87,constantsHP!$Z$4:$AF$28,5)</f>
        <v>2.9530000000000001E-2</v>
      </c>
      <c r="J90" s="9">
        <f>VLOOKUP($D$87,constantsHP!$Z$4:$AF$28,6)</f>
        <v>1.0716300000000001</v>
      </c>
      <c r="K90" s="9">
        <f>VLOOKUP($D$87,constantsHP!$Z$4:$AF$28,7)</f>
        <v>3.1040000000000002E-2</v>
      </c>
      <c r="N90" s="118"/>
      <c r="O90" s="118"/>
      <c r="P90" s="118"/>
      <c r="Q90" s="118"/>
      <c r="R90" s="118">
        <v>7</v>
      </c>
      <c r="S90" s="118">
        <v>15</v>
      </c>
    </row>
    <row r="91" spans="3:25" x14ac:dyDescent="0.3">
      <c r="C91" s="33" t="s">
        <v>168</v>
      </c>
      <c r="D91" s="31">
        <f>F56</f>
        <v>4</v>
      </c>
      <c r="E91" s="6"/>
      <c r="N91" s="118"/>
      <c r="O91" s="118"/>
      <c r="P91" s="118"/>
      <c r="Q91" s="118"/>
      <c r="R91" s="118">
        <v>8</v>
      </c>
      <c r="S91" s="118">
        <v>20</v>
      </c>
    </row>
    <row r="92" spans="3:25" x14ac:dyDescent="0.3">
      <c r="C92" s="33" t="s">
        <v>169</v>
      </c>
      <c r="D92" s="7" t="str">
        <f>H9</f>
        <v>Direct</v>
      </c>
      <c r="E92" s="6"/>
      <c r="F92" s="6" t="s">
        <v>170</v>
      </c>
      <c r="G92" s="6"/>
      <c r="H92" s="6"/>
      <c r="I92" s="6"/>
      <c r="N92" s="118"/>
      <c r="O92" s="118"/>
      <c r="P92" s="118"/>
      <c r="Q92" s="118"/>
      <c r="R92" s="118">
        <v>9</v>
      </c>
      <c r="S92" s="118">
        <v>25</v>
      </c>
    </row>
    <row r="93" spans="3:25" x14ac:dyDescent="0.3">
      <c r="C93" s="33" t="s">
        <v>171</v>
      </c>
      <c r="D93" s="7">
        <f>IF(H8="no",0,1)</f>
        <v>1</v>
      </c>
      <c r="E93" s="10"/>
      <c r="F93" s="119" t="s">
        <v>141</v>
      </c>
      <c r="G93" s="119" t="s">
        <v>172</v>
      </c>
      <c r="H93" s="119" t="s">
        <v>173</v>
      </c>
      <c r="I93" s="119" t="s">
        <v>174</v>
      </c>
      <c r="N93" s="118"/>
      <c r="O93" s="118"/>
      <c r="P93" s="118"/>
      <c r="Q93" s="118"/>
      <c r="R93" s="118">
        <v>10</v>
      </c>
      <c r="S93" s="118">
        <v>30</v>
      </c>
    </row>
    <row r="94" spans="3:25" x14ac:dyDescent="0.3">
      <c r="C94" s="33" t="s">
        <v>175</v>
      </c>
      <c r="D94" s="31">
        <f>D87</f>
        <v>15</v>
      </c>
      <c r="E94" s="10" t="s">
        <v>176</v>
      </c>
      <c r="F94" s="9">
        <f>VLOOKUP($D$94,constantsHP!$S$4:$X$28,3)</f>
        <v>15</v>
      </c>
      <c r="G94" s="9">
        <f>VLOOKUP($D$94,constantsHP!$S$4:$X$28,4)</f>
        <v>0.98185</v>
      </c>
      <c r="H94" s="9">
        <f>VLOOKUP($D$94,constantsHP!$S$4:$X$28,5)</f>
        <v>1.985E-2</v>
      </c>
      <c r="I94" s="9">
        <f>VLOOKUP($D$94,constantsHP!$S$4:$X$28,6)</f>
        <v>6.9999999999999999E-4</v>
      </c>
      <c r="N94" s="118"/>
      <c r="O94" s="118"/>
      <c r="P94" s="118"/>
      <c r="Q94" s="118"/>
      <c r="R94" s="118">
        <v>11</v>
      </c>
      <c r="S94" s="118">
        <v>40</v>
      </c>
    </row>
    <row r="95" spans="3:25" x14ac:dyDescent="0.3">
      <c r="C95" s="6"/>
      <c r="D95" s="7"/>
      <c r="E95" s="10" t="s">
        <v>177</v>
      </c>
      <c r="F95" s="9">
        <f>VLOOKUP($D$94,constantsHP!$T$4:$X$28,2)</f>
        <v>20</v>
      </c>
      <c r="G95" s="9">
        <f>VLOOKUP($D$94,constantsHP!$T$4:$X$28,3)</f>
        <v>0.98499999999999999</v>
      </c>
      <c r="H95" s="9">
        <f>VLOOKUP($D$94,constantsHP!$T$4:$X$28,4)</f>
        <v>1.7500000000000002E-2</v>
      </c>
      <c r="I95" s="9">
        <f>VLOOKUP($D$94,constantsHP!$T$4:$X$28,5)</f>
        <v>-5.0000000000000001E-4</v>
      </c>
      <c r="N95" s="118"/>
      <c r="O95" s="118"/>
      <c r="P95" s="118"/>
      <c r="Q95" s="118"/>
      <c r="R95" s="118">
        <v>12</v>
      </c>
      <c r="S95" s="118">
        <v>50</v>
      </c>
    </row>
    <row r="96" spans="3:25" x14ac:dyDescent="0.3">
      <c r="C96" s="11"/>
      <c r="D96" s="7"/>
      <c r="E96" s="10" t="s">
        <v>178</v>
      </c>
      <c r="F96" s="9">
        <f>(D94-F94)/(F95-F94)</f>
        <v>0</v>
      </c>
      <c r="G96" s="9">
        <f>ROUND($F96*(G95-G94)+G94,5)</f>
        <v>0.98185</v>
      </c>
      <c r="H96" s="9">
        <f>ROUND($F96*(H95-H94)+H94,5)</f>
        <v>1.985E-2</v>
      </c>
      <c r="I96" s="9">
        <f>ROUND($F96*(I95-I94)+I94,5)</f>
        <v>6.9999999999999999E-4</v>
      </c>
      <c r="N96" s="118"/>
      <c r="O96" s="118"/>
      <c r="P96" s="118"/>
      <c r="Q96" s="118"/>
      <c r="R96" s="118">
        <v>13</v>
      </c>
      <c r="S96" s="118">
        <v>60</v>
      </c>
    </row>
    <row r="97" spans="1:19" x14ac:dyDescent="0.3">
      <c r="N97" s="118"/>
      <c r="O97" s="118"/>
      <c r="P97" s="118"/>
      <c r="Q97" s="118"/>
      <c r="R97" s="118">
        <v>14</v>
      </c>
      <c r="S97" s="118">
        <v>75</v>
      </c>
    </row>
    <row r="98" spans="1:19" x14ac:dyDescent="0.3">
      <c r="N98" s="118"/>
      <c r="O98" s="118"/>
      <c r="P98" s="118"/>
      <c r="Q98" s="118"/>
      <c r="R98" s="118">
        <v>15</v>
      </c>
      <c r="S98" s="118">
        <v>100</v>
      </c>
    </row>
    <row r="99" spans="1:19" ht="87.6" x14ac:dyDescent="0.35">
      <c r="A99" s="12" t="s">
        <v>179</v>
      </c>
      <c r="B99" s="12" t="s">
        <v>180</v>
      </c>
      <c r="C99" s="13" t="s">
        <v>181</v>
      </c>
      <c r="D99" s="14" t="s">
        <v>126</v>
      </c>
      <c r="E99" s="7" t="s">
        <v>182</v>
      </c>
      <c r="F99" s="7" t="s">
        <v>163</v>
      </c>
      <c r="G99" s="7" t="s">
        <v>164</v>
      </c>
      <c r="H99" s="7" t="s">
        <v>183</v>
      </c>
      <c r="I99" s="12" t="s">
        <v>184</v>
      </c>
      <c r="J99" s="14" t="s">
        <v>185</v>
      </c>
      <c r="K99" s="12" t="s">
        <v>186</v>
      </c>
      <c r="L99" s="12" t="s">
        <v>187</v>
      </c>
      <c r="M99" s="12" t="s">
        <v>188</v>
      </c>
      <c r="N99" s="12" t="s">
        <v>189</v>
      </c>
      <c r="O99" s="15"/>
      <c r="P99" s="16"/>
      <c r="R99">
        <v>16</v>
      </c>
      <c r="S99">
        <v>125</v>
      </c>
    </row>
    <row r="100" spans="1:19" x14ac:dyDescent="0.3">
      <c r="A100" s="2">
        <f>D88</f>
        <v>9.7917985959816018</v>
      </c>
      <c r="B100" s="23">
        <f>IF($D$92="Direct",1,IF($D$92="V-Belt",0.96*(A100/(A100+2.2))^0.05,IF($D$92="Coupling",0.98,IF(AND($D$92="Synchronous Belt",A100&lt;=1.34),0.94,IF(AND($D$92="Synchronous Belt",A100&gt;1.34,A100&lt;=6.7),0.00746*A100+0.93,0.98)))))</f>
        <v>1</v>
      </c>
      <c r="C100" s="23">
        <f>A100/B100</f>
        <v>9.7917985959816018</v>
      </c>
      <c r="D100" s="23">
        <f>IF(AND($D$89="ODP",$D$91=2),$E$85,IF(AND($D$89="ODP",$D$91=4),$F$85,IF(AND($D$89="ODP",$D$91=6),$G$85,IF(AND($D$89="ODP",$D$91=8),$H$85,IF(AND($D$89="TEFC",$D$91=2),$I$85,IF(AND($D$89="TEFC",$D$91=4),$J$85,IF(AND($D$89="TEFC",$D$91=6),$K$85,IF(AND($D$89="TEFC",$D$91=8),$L$85))))))))</f>
        <v>0.93</v>
      </c>
      <c r="E100" s="23">
        <f>C100/$D$87</f>
        <v>0.65278657306544008</v>
      </c>
      <c r="F100" s="23">
        <f>IF(AND($D$93&gt;0,$D$91=2),F$89,IF(AND($D$93=0,$D$91=2),F$90,IF(AND($D$93&gt;0,$D$91=4),H$89,IF(AND($D$93=0,$D$91=4),H$90,IF(AND($D$93&gt;0,OR($D$91=6,$D$91=8)),J$89,IF(AND($D$93=0,OR($D$91=6,$D$91=8)),J$90))))))</f>
        <v>1.03443</v>
      </c>
      <c r="G100" s="23">
        <f>IF(AND($D$93&gt;0,$D$91=2),G$89,IF(AND($D$93=0,$D$91=2),G$90,IF(AND($D$93&gt;0,$D$91=4),I$89,IF(AND($D$93=0,$D$91=4),I$90,IF(AND($D$93&gt;0,OR($D$91=6,$D$91=8)),K$89,IF(AND($D$93=0,OR($D$91=6,$D$91=8)),K$90))))))</f>
        <v>9.9600000000000001E-3</v>
      </c>
      <c r="H100" s="23">
        <f t="shared" ref="H100" si="4">1-(F100/(1+G100))</f>
        <v>-2.4228682324052508E-2</v>
      </c>
      <c r="I100" s="17">
        <f>D100*(((F100*E100)/(G100+E100))+H100*(E100^2))</f>
        <v>0.9379604544397433</v>
      </c>
      <c r="J100" s="18">
        <f>IF($D$93=0,0,($D$86/$D$93)*C100/(I100*$D$94))</f>
        <v>0.69596385431340868</v>
      </c>
      <c r="K100" s="19">
        <f>($G$96*J100/($H$96+J100))+(J100*$I$96)</f>
        <v>0.9551098133071253</v>
      </c>
      <c r="L100" s="20">
        <f>I100*K100</f>
        <v>0.89585523452940963</v>
      </c>
      <c r="M100" s="21">
        <f>IF(J100=0,C100*0.7457/I100,C100*0.7457/L100)</f>
        <v>8.1505849735410294</v>
      </c>
      <c r="N100" s="20">
        <f>IF(J100=0,B100*I100,B100*L100)</f>
        <v>0.89585523452940963</v>
      </c>
      <c r="R100">
        <v>17</v>
      </c>
      <c r="S100">
        <v>150</v>
      </c>
    </row>
    <row r="101" spans="1:19" x14ac:dyDescent="0.3">
      <c r="A101" s="2"/>
      <c r="B101" s="23"/>
      <c r="C101" s="23"/>
      <c r="D101" s="23"/>
      <c r="E101" s="23"/>
      <c r="F101" s="23"/>
      <c r="G101" s="23"/>
      <c r="H101" s="23"/>
      <c r="I101" s="17"/>
      <c r="J101" s="18"/>
      <c r="K101" s="19"/>
      <c r="L101" s="20"/>
      <c r="M101" s="21"/>
      <c r="N101" s="20"/>
      <c r="R101">
        <v>18</v>
      </c>
      <c r="S101">
        <v>200</v>
      </c>
    </row>
    <row r="102" spans="1:19" x14ac:dyDescent="0.3">
      <c r="A102" s="2"/>
      <c r="B102" s="23"/>
      <c r="C102" s="23"/>
      <c r="D102" s="23"/>
      <c r="E102" s="23"/>
      <c r="F102" s="23"/>
      <c r="G102" s="23"/>
      <c r="H102" s="23"/>
      <c r="I102" s="17"/>
      <c r="J102" s="18"/>
      <c r="K102" s="19"/>
      <c r="L102" s="20"/>
      <c r="M102" s="21"/>
      <c r="N102" s="20"/>
      <c r="R102">
        <v>19</v>
      </c>
      <c r="S102">
        <v>250</v>
      </c>
    </row>
    <row r="103" spans="1:19" ht="15.6" x14ac:dyDescent="0.35">
      <c r="E103" s="4" t="s">
        <v>126</v>
      </c>
      <c r="F103" s="4"/>
      <c r="G103" s="4"/>
      <c r="H103" s="4"/>
      <c r="I103" s="4"/>
      <c r="J103" s="4"/>
      <c r="K103" s="4"/>
      <c r="L103" s="4"/>
      <c r="M103" s="21"/>
      <c r="N103" s="20"/>
      <c r="R103">
        <v>20</v>
      </c>
      <c r="S103">
        <v>300</v>
      </c>
    </row>
    <row r="104" spans="1:19" x14ac:dyDescent="0.3">
      <c r="E104" s="148" t="s">
        <v>113</v>
      </c>
      <c r="F104" s="149"/>
      <c r="G104" s="149"/>
      <c r="H104" s="150"/>
      <c r="I104" s="89" t="s">
        <v>139</v>
      </c>
      <c r="J104" s="89"/>
      <c r="K104" s="89"/>
      <c r="L104" s="89"/>
      <c r="M104" s="21"/>
      <c r="N104" s="20"/>
      <c r="O104" s="19"/>
      <c r="P104" s="22"/>
      <c r="R104">
        <v>21</v>
      </c>
      <c r="S104">
        <v>350</v>
      </c>
    </row>
    <row r="105" spans="1:19" x14ac:dyDescent="0.3">
      <c r="C105" s="6"/>
      <c r="D105" s="33" t="s">
        <v>201</v>
      </c>
      <c r="E105" s="119" t="s">
        <v>144</v>
      </c>
      <c r="F105" s="119" t="s">
        <v>145</v>
      </c>
      <c r="G105" s="119" t="s">
        <v>146</v>
      </c>
      <c r="H105" s="119" t="s">
        <v>147</v>
      </c>
      <c r="I105" s="119" t="s">
        <v>144</v>
      </c>
      <c r="J105" s="119" t="s">
        <v>145</v>
      </c>
      <c r="K105" s="119" t="s">
        <v>146</v>
      </c>
      <c r="L105" s="119" t="s">
        <v>148</v>
      </c>
      <c r="M105" s="21"/>
      <c r="N105" s="20"/>
      <c r="R105">
        <v>22</v>
      </c>
      <c r="S105">
        <v>400</v>
      </c>
    </row>
    <row r="106" spans="1:19" x14ac:dyDescent="0.3">
      <c r="C106" s="6"/>
      <c r="D106" s="7"/>
      <c r="E106" s="9">
        <f>VLOOKUP($D$108,constantsHP!$A$4:$I$28,2)/100</f>
        <v>0.85499999999999998</v>
      </c>
      <c r="F106" s="9">
        <f>VLOOKUP($D$108,constantsHP!$A$4:$I$28,3)/100</f>
        <v>0.86900000000000011</v>
      </c>
      <c r="G106" s="9">
        <f>VLOOKUP($D$108,constantsHP!$A$4:$I$28,4)/100</f>
        <v>0.88500000000000001</v>
      </c>
      <c r="H106" s="9">
        <f>VLOOKUP($D$108,constantsHP!$A$4:$I$28,5)/100</f>
        <v>0.875</v>
      </c>
      <c r="I106" s="9">
        <f>VLOOKUP($D$108,constantsHP!$A$4:$I$28,6)/100</f>
        <v>0.86499999999999999</v>
      </c>
      <c r="J106" s="9">
        <f>VLOOKUP($D$108,constantsHP!$A$4:$I$28,7)/100</f>
        <v>0.89500000000000002</v>
      </c>
      <c r="K106" s="9">
        <f>VLOOKUP($D$108,constantsHP!$A$4:$I$28,8)/100</f>
        <v>0.89500000000000002</v>
      </c>
      <c r="L106" s="9">
        <f>VLOOKUP($D$108,constantsHP!$A$4:$I$28,9)/100</f>
        <v>0.82499999999999996</v>
      </c>
      <c r="M106" s="21"/>
      <c r="N106" s="20"/>
      <c r="R106">
        <v>23</v>
      </c>
      <c r="S106">
        <v>450</v>
      </c>
    </row>
    <row r="107" spans="1:19" x14ac:dyDescent="0.3">
      <c r="C107" s="33" t="s">
        <v>154</v>
      </c>
      <c r="D107" s="7">
        <v>1</v>
      </c>
      <c r="M107" s="21"/>
      <c r="N107" s="20"/>
      <c r="R107">
        <v>24</v>
      </c>
      <c r="S107">
        <v>500</v>
      </c>
    </row>
    <row r="108" spans="1:19" x14ac:dyDescent="0.3">
      <c r="C108" s="33" t="s">
        <v>157</v>
      </c>
      <c r="D108" s="31">
        <f>G53</f>
        <v>3</v>
      </c>
      <c r="E108" s="151" t="s">
        <v>158</v>
      </c>
      <c r="F108" s="148" t="s">
        <v>159</v>
      </c>
      <c r="G108" s="150"/>
      <c r="H108" s="119" t="s">
        <v>160</v>
      </c>
      <c r="I108" s="119"/>
      <c r="J108" s="89" t="s">
        <v>161</v>
      </c>
      <c r="K108" s="89"/>
      <c r="M108" s="21"/>
      <c r="N108" s="20"/>
      <c r="R108">
        <v>25</v>
      </c>
    </row>
    <row r="109" spans="1:19" x14ac:dyDescent="0.3">
      <c r="C109" s="33" t="s">
        <v>162</v>
      </c>
      <c r="D109" s="31">
        <f>G54</f>
        <v>2.4479496489954009</v>
      </c>
      <c r="E109" s="152"/>
      <c r="F109" s="125" t="s">
        <v>163</v>
      </c>
      <c r="G109" s="125" t="s">
        <v>164</v>
      </c>
      <c r="H109" s="125" t="s">
        <v>163</v>
      </c>
      <c r="I109" s="125" t="s">
        <v>164</v>
      </c>
      <c r="J109" s="125" t="s">
        <v>163</v>
      </c>
      <c r="K109" s="125" t="s">
        <v>164</v>
      </c>
      <c r="M109" s="21"/>
      <c r="N109" s="20"/>
      <c r="R109">
        <v>26</v>
      </c>
    </row>
    <row r="110" spans="1:19" x14ac:dyDescent="0.3">
      <c r="C110" s="33" t="s">
        <v>165</v>
      </c>
      <c r="D110" s="35" t="str">
        <f>G55</f>
        <v>ODP</v>
      </c>
      <c r="E110" s="10" t="s">
        <v>166</v>
      </c>
      <c r="F110" s="9">
        <f>VLOOKUP($D$108,constantsHP!$K$4:$Q$28,2)</f>
        <v>1.0327299999999999</v>
      </c>
      <c r="G110" s="9">
        <f>VLOOKUP($D$108,constantsHP!$K$4:$Q$28,3)</f>
        <v>1.338E-2</v>
      </c>
      <c r="H110" s="9">
        <f>VLOOKUP($D$108,constantsHP!$K$4:$Q$28,4)</f>
        <v>1.04016</v>
      </c>
      <c r="I110" s="9">
        <f>VLOOKUP($D$108,constantsHP!$K$4:$Q$28,5)</f>
        <v>2.4670000000000001E-2</v>
      </c>
      <c r="J110" s="9">
        <f>VLOOKUP($D$108,constantsHP!$K$4:$Q$28,6)</f>
        <v>1.0676000000000001</v>
      </c>
      <c r="K110" s="9">
        <f>VLOOKUP($D$108,constantsHP!$K$4:$Q$28,7)</f>
        <v>4.24E-2</v>
      </c>
      <c r="M110" s="23"/>
      <c r="R110">
        <v>37</v>
      </c>
    </row>
    <row r="111" spans="1:19" x14ac:dyDescent="0.3">
      <c r="C111" s="33"/>
      <c r="D111" s="7"/>
      <c r="E111" s="10" t="s">
        <v>167</v>
      </c>
      <c r="F111" s="9">
        <f>VLOOKUP($D$108,constantsHP!$Z$4:$AF$28,2)</f>
        <v>1.1134999999999999</v>
      </c>
      <c r="G111" s="9">
        <f>VLOOKUP($D$108,constantsHP!$Z$4:$AF$28,3)</f>
        <v>6.4360000000000001E-2</v>
      </c>
      <c r="H111" s="9">
        <f>VLOOKUP($D$108,constantsHP!$Z$4:$AF$28,4)</f>
        <v>1.10643</v>
      </c>
      <c r="I111" s="9">
        <f>VLOOKUP($D$108,constantsHP!$Z$4:$AF$28,5)</f>
        <v>6.5710000000000005E-2</v>
      </c>
      <c r="J111" s="9">
        <f>VLOOKUP($D$108,constantsHP!$Z$4:$AF$28,6)</f>
        <v>1.1296200000000001</v>
      </c>
      <c r="K111" s="9">
        <f>VLOOKUP($D$108,constantsHP!$Z$4:$AF$28,7)</f>
        <v>8.0269999999999994E-2</v>
      </c>
      <c r="M111" s="23"/>
      <c r="R111">
        <v>38</v>
      </c>
    </row>
    <row r="112" spans="1:19" x14ac:dyDescent="0.3">
      <c r="C112" s="33" t="s">
        <v>168</v>
      </c>
      <c r="D112" s="31">
        <f>G56</f>
        <v>4</v>
      </c>
      <c r="E112" s="6"/>
      <c r="M112" s="23"/>
      <c r="N112" s="5"/>
      <c r="R112">
        <v>39</v>
      </c>
    </row>
    <row r="113" spans="1:18" x14ac:dyDescent="0.3">
      <c r="C113" s="33" t="s">
        <v>169</v>
      </c>
      <c r="D113" s="7" t="str">
        <f>I9</f>
        <v>Direct</v>
      </c>
      <c r="E113" s="6"/>
      <c r="F113" s="6" t="s">
        <v>170</v>
      </c>
      <c r="G113" s="6"/>
      <c r="H113" s="6"/>
      <c r="I113" s="6"/>
      <c r="M113" s="23"/>
      <c r="R113">
        <v>40</v>
      </c>
    </row>
    <row r="114" spans="1:18" x14ac:dyDescent="0.3">
      <c r="C114" s="33" t="s">
        <v>171</v>
      </c>
      <c r="D114" s="7">
        <f>IF(I8="no",0,1)</f>
        <v>1</v>
      </c>
      <c r="E114" s="10"/>
      <c r="F114" s="119" t="s">
        <v>141</v>
      </c>
      <c r="G114" s="119" t="s">
        <v>172</v>
      </c>
      <c r="H114" s="119" t="s">
        <v>173</v>
      </c>
      <c r="I114" s="119" t="s">
        <v>174</v>
      </c>
      <c r="M114" s="23"/>
    </row>
    <row r="115" spans="1:18" x14ac:dyDescent="0.3">
      <c r="C115" s="33" t="s">
        <v>175</v>
      </c>
      <c r="D115" s="31">
        <f>D108</f>
        <v>3</v>
      </c>
      <c r="E115" s="10" t="s">
        <v>176</v>
      </c>
      <c r="F115" s="9">
        <f>VLOOKUP($D$115,constantsHP!$S$4:$X$28,3)</f>
        <v>3</v>
      </c>
      <c r="G115" s="9">
        <f>VLOOKUP($D$115,constantsHP!$S$4:$X$28,4)</f>
        <v>0.97889999999999999</v>
      </c>
      <c r="H115" s="9">
        <f>VLOOKUP($D$115,constantsHP!$S$4:$X$28,5)</f>
        <v>3.4200000000000001E-2</v>
      </c>
      <c r="I115" s="9">
        <f>VLOOKUP($D$115,constantsHP!$S$4:$X$28,6)</f>
        <v>-7.9000000000000008E-3</v>
      </c>
      <c r="M115" s="23"/>
    </row>
    <row r="116" spans="1:18" x14ac:dyDescent="0.3">
      <c r="C116" s="6"/>
      <c r="D116" s="7"/>
      <c r="E116" s="10" t="s">
        <v>177</v>
      </c>
      <c r="F116" s="9">
        <f>VLOOKUP($D$115,constantsHP!$T$4:$X$28,2)</f>
        <v>5</v>
      </c>
      <c r="G116" s="9">
        <f>VLOOKUP($D$115,constantsHP!$T$4:$X$28,3)</f>
        <v>0.97750000000000004</v>
      </c>
      <c r="H116" s="9">
        <f>VLOOKUP($D$115,constantsHP!$T$4:$X$28,4)</f>
        <v>2.8400000000000002E-2</v>
      </c>
      <c r="I116" s="9">
        <f>VLOOKUP($D$115,constantsHP!$T$4:$X$28,5)</f>
        <v>-2.7000000000000001E-3</v>
      </c>
      <c r="M116" s="23"/>
    </row>
    <row r="117" spans="1:18" x14ac:dyDescent="0.3">
      <c r="C117" s="11"/>
      <c r="D117" s="7"/>
      <c r="E117" s="10" t="s">
        <v>178</v>
      </c>
      <c r="F117" s="9">
        <f>(D115-F115)/(F116-F115)</f>
        <v>0</v>
      </c>
      <c r="G117" s="9">
        <f>ROUND($F117*(G116-G115)+G115,5)</f>
        <v>0.97889999999999999</v>
      </c>
      <c r="H117" s="9">
        <f>ROUND($F117*(H116-H115)+H115,5)</f>
        <v>3.4200000000000001E-2</v>
      </c>
      <c r="I117" s="9">
        <f>ROUND($F117*(I116-I115)+I115,5)</f>
        <v>-7.9000000000000008E-3</v>
      </c>
      <c r="M117" s="23"/>
    </row>
    <row r="118" spans="1:18" x14ac:dyDescent="0.3">
      <c r="M118" s="23"/>
    </row>
    <row r="119" spans="1:18" x14ac:dyDescent="0.3">
      <c r="M119" s="23"/>
    </row>
    <row r="120" spans="1:18" ht="87.6" x14ac:dyDescent="0.35">
      <c r="A120" s="101" t="s">
        <v>179</v>
      </c>
      <c r="B120" s="101" t="s">
        <v>180</v>
      </c>
      <c r="C120" s="60" t="s">
        <v>181</v>
      </c>
      <c r="D120" s="102" t="s">
        <v>126</v>
      </c>
      <c r="E120" s="119" t="s">
        <v>182</v>
      </c>
      <c r="F120" s="119" t="s">
        <v>163</v>
      </c>
      <c r="G120" s="119" t="s">
        <v>164</v>
      </c>
      <c r="H120" s="119" t="s">
        <v>183</v>
      </c>
      <c r="I120" s="101" t="s">
        <v>184</v>
      </c>
      <c r="J120" s="102" t="s">
        <v>185</v>
      </c>
      <c r="K120" s="101" t="s">
        <v>186</v>
      </c>
      <c r="L120" s="101" t="s">
        <v>187</v>
      </c>
      <c r="M120" s="101" t="s">
        <v>188</v>
      </c>
      <c r="N120" s="101" t="s">
        <v>189</v>
      </c>
    </row>
    <row r="121" spans="1:18" x14ac:dyDescent="0.3">
      <c r="A121" s="27">
        <f>D109</f>
        <v>2.4479496489954009</v>
      </c>
      <c r="B121" s="125">
        <f>IF($D$113="Direct",1,IF($D$113="V-Belt",0.96*(A121/(A121+2.2))^0.05,IF($D$113="Coupling",0.98,IF(AND($D$113="Synchronous Belt",A121&lt;=1.34),0.94,IF(AND($D$113="Synchronous Belt",A121&gt;1.34,A121&lt;=6.7),0.00746*A121+0.93,0.98)))))</f>
        <v>1</v>
      </c>
      <c r="C121" s="125">
        <f>A121/B121</f>
        <v>2.4479496489954009</v>
      </c>
      <c r="D121" s="125">
        <f>IF(AND($D$110="ODP",$D$112=2),$E$106,IF(AND($D$110="ODP",$D$112=4),$F$106,IF(AND($D$110="ODP",$D$112=6),$G$106,IF(AND($D$110="ODP",$D$112=8),$H$106,IF(AND($D$110="TEFC",$D$112=2),$I$106,IF(AND($D$110="TEFC",$D$112=4),$J$106,IF(AND($D$110="TEFC",$D$112=6),$K$106,IF(AND($D$110="TEFC",$D$112=8),$L$106))))))))</f>
        <v>0.86900000000000011</v>
      </c>
      <c r="E121" s="125">
        <f>C121/$D$108</f>
        <v>0.81598321633180027</v>
      </c>
      <c r="F121" s="125">
        <f>IF(AND($D$114&gt;0,$D$112=2),F$110,IF(AND($D$114=0,$D$112=2),F$111,IF(AND($D$114&gt;0,$D$112=4),H$110,IF(AND($D$114=0,$D$112=4),H$111,IF(AND($D$114&gt;0,OR($D$112=6,$D$112=8)),J$110,IF(AND($D$114=0,OR($D$112=6,$D$112=8)),J$111))))))</f>
        <v>1.04016</v>
      </c>
      <c r="G121" s="125">
        <f>IF(AND($D$114&gt;0,$D$112=2),G$110,IF(AND($D$114=0,$D$112=2),G$111,IF(AND($D$114&gt;0,$D$112=4),I$110,IF(AND($D$114=0,$D$112=4),I$111,IF(AND($D$114&gt;0,OR($D$112=6,$D$112=8)),K$110,IF(AND($D$114=0,OR($D$112=6,$D$112=8)),K$111))))))</f>
        <v>2.4670000000000001E-2</v>
      </c>
      <c r="H121" s="125">
        <f>1-(F121/(1+G121))</f>
        <v>-1.5117062078522814E-2</v>
      </c>
      <c r="I121" s="34">
        <f>D121*(((F121*E121)/(G121+E121))+H121*(E121^2))</f>
        <v>0.86862620507663579</v>
      </c>
      <c r="J121" s="103">
        <f>IF($D$114=0,0,($D$107/$D$114)*C121/(I121*$D$115))</f>
        <v>0.93939511790322849</v>
      </c>
      <c r="K121" s="32">
        <f>($G$117*J121/($H$117+J121))+(J121*$I$117)</f>
        <v>0.93709243111840435</v>
      </c>
      <c r="L121" s="104">
        <f>I121*K121</f>
        <v>0.81398304224841833</v>
      </c>
      <c r="M121" s="36">
        <f>IF(J121=0,C121*0.7457/I121,C121*0.7457/L121)</f>
        <v>2.2425971531465496</v>
      </c>
      <c r="N121" s="104">
        <f>IF(J121=0,B121*I121,B121*L121)</f>
        <v>0.81398304224841833</v>
      </c>
    </row>
    <row r="122" spans="1:18" x14ac:dyDescent="0.3">
      <c r="C122" s="23"/>
      <c r="D122" s="23"/>
      <c r="E122" s="23"/>
      <c r="F122" s="23"/>
      <c r="G122" s="23"/>
      <c r="H122" s="23"/>
      <c r="I122" s="23"/>
      <c r="J122" s="23"/>
      <c r="K122" s="23"/>
      <c r="L122" s="23"/>
      <c r="M122" s="23"/>
    </row>
    <row r="123" spans="1:18" x14ac:dyDescent="0.3">
      <c r="C123" s="23"/>
      <c r="D123" s="23"/>
      <c r="E123" s="23"/>
      <c r="F123" s="23"/>
      <c r="G123" s="23"/>
      <c r="H123" s="23"/>
      <c r="I123" s="23"/>
      <c r="J123" s="23"/>
      <c r="K123" s="23"/>
      <c r="L123" s="23"/>
      <c r="M123" s="23"/>
    </row>
    <row r="124" spans="1:18" x14ac:dyDescent="0.3">
      <c r="C124" s="23"/>
      <c r="D124" s="23"/>
      <c r="E124" s="23"/>
      <c r="F124" s="23"/>
      <c r="G124" s="23"/>
      <c r="H124" s="23"/>
      <c r="I124" s="23"/>
      <c r="J124" s="23"/>
      <c r="K124" s="23"/>
      <c r="L124" s="23"/>
      <c r="M124" s="23"/>
    </row>
    <row r="125" spans="1:18" x14ac:dyDescent="0.3">
      <c r="C125" s="23"/>
      <c r="D125" s="23"/>
      <c r="E125" s="23"/>
      <c r="F125" s="23"/>
      <c r="G125" s="23"/>
      <c r="H125" s="23"/>
      <c r="I125" s="23"/>
      <c r="J125" s="23"/>
      <c r="K125" s="23"/>
      <c r="L125" s="23"/>
      <c r="M125" s="23"/>
    </row>
    <row r="126" spans="1:18" x14ac:dyDescent="0.3">
      <c r="C126" s="23"/>
      <c r="D126" s="23"/>
      <c r="E126" s="23"/>
      <c r="F126" s="23"/>
      <c r="G126" s="23"/>
      <c r="H126" s="23"/>
      <c r="I126" s="23"/>
      <c r="J126" s="23"/>
      <c r="K126" s="23"/>
      <c r="L126" s="23"/>
      <c r="M126" s="23"/>
    </row>
    <row r="127" spans="1:18" x14ac:dyDescent="0.3">
      <c r="C127" s="23"/>
      <c r="D127" s="23"/>
      <c r="E127" s="23"/>
      <c r="F127" s="23"/>
      <c r="G127" s="23"/>
      <c r="H127" s="23"/>
      <c r="I127" s="23"/>
      <c r="J127" s="23"/>
      <c r="K127" s="23"/>
      <c r="L127" s="23"/>
      <c r="M127" s="23"/>
    </row>
    <row r="128" spans="1:18" x14ac:dyDescent="0.3">
      <c r="C128" s="23"/>
      <c r="D128" s="23"/>
      <c r="E128" s="23"/>
      <c r="F128" s="23"/>
      <c r="G128" s="23"/>
      <c r="H128" s="23"/>
      <c r="I128" s="23"/>
      <c r="J128" s="23"/>
      <c r="K128" s="23"/>
      <c r="L128" s="23"/>
      <c r="M128" s="23"/>
    </row>
    <row r="129" spans="1:18" x14ac:dyDescent="0.3">
      <c r="A129" s="12"/>
      <c r="C129" s="23"/>
      <c r="D129" s="23"/>
      <c r="E129" s="23"/>
      <c r="F129" s="23"/>
      <c r="G129" s="23"/>
      <c r="H129" s="23"/>
      <c r="I129" s="23"/>
      <c r="J129" s="23"/>
      <c r="K129" s="23"/>
      <c r="L129" s="23"/>
      <c r="M129" s="23"/>
      <c r="N129" s="12"/>
    </row>
    <row r="130" spans="1:18" x14ac:dyDescent="0.3">
      <c r="A130" s="2"/>
      <c r="B130" s="12"/>
      <c r="C130" s="23"/>
      <c r="D130" s="23"/>
      <c r="E130" s="23"/>
      <c r="F130" s="23"/>
      <c r="G130" s="23"/>
      <c r="H130" s="23"/>
      <c r="I130" s="23"/>
      <c r="J130" s="23"/>
      <c r="K130" s="23"/>
      <c r="L130" s="23"/>
      <c r="M130" s="23"/>
      <c r="N130" s="20"/>
    </row>
    <row r="131" spans="1:18" x14ac:dyDescent="0.3">
      <c r="A131" s="2"/>
      <c r="B131" s="23"/>
      <c r="C131" s="23"/>
      <c r="D131" s="23"/>
      <c r="E131" s="23"/>
      <c r="F131" s="23"/>
      <c r="G131" s="23"/>
      <c r="H131" s="23"/>
      <c r="I131" s="23"/>
      <c r="J131" s="23"/>
      <c r="K131" s="23"/>
      <c r="L131" s="23"/>
      <c r="M131" s="23"/>
      <c r="N131" s="20"/>
    </row>
    <row r="132" spans="1:18" x14ac:dyDescent="0.3">
      <c r="A132" s="2"/>
      <c r="B132" s="23"/>
      <c r="C132" s="23"/>
      <c r="D132" s="23"/>
      <c r="E132" s="23"/>
      <c r="F132" s="23"/>
      <c r="G132" s="23"/>
      <c r="H132" s="23"/>
      <c r="I132" s="23"/>
      <c r="J132" s="23"/>
      <c r="K132" s="23"/>
      <c r="L132" s="23"/>
      <c r="M132" s="23"/>
      <c r="N132" s="23"/>
      <c r="O132" s="23"/>
      <c r="P132" s="23"/>
      <c r="Q132" s="23"/>
      <c r="R132" s="20"/>
    </row>
    <row r="133" spans="1:18" x14ac:dyDescent="0.3">
      <c r="A133" s="2"/>
      <c r="B133" s="23"/>
      <c r="C133" s="23"/>
      <c r="D133" s="23"/>
      <c r="E133" s="23"/>
      <c r="F133" s="23"/>
      <c r="G133" s="23"/>
      <c r="H133" s="23"/>
      <c r="I133" s="23"/>
      <c r="J133" s="23"/>
      <c r="K133" s="23"/>
      <c r="L133" s="23"/>
      <c r="M133" s="23"/>
      <c r="N133" s="23"/>
      <c r="O133" s="23"/>
      <c r="P133" s="23"/>
      <c r="Q133" s="23"/>
      <c r="R133" s="20"/>
    </row>
    <row r="134" spans="1:18" x14ac:dyDescent="0.3">
      <c r="A134" s="2"/>
      <c r="B134" s="23"/>
      <c r="C134" s="23"/>
      <c r="D134" s="23"/>
      <c r="E134" s="23"/>
      <c r="F134" s="23"/>
      <c r="G134" s="23"/>
      <c r="H134" s="23"/>
      <c r="I134" s="23"/>
      <c r="J134" s="23"/>
      <c r="K134" s="23"/>
      <c r="L134" s="23"/>
      <c r="M134" s="23"/>
      <c r="N134" s="23"/>
      <c r="O134" s="23"/>
      <c r="P134" s="23"/>
      <c r="Q134" s="23"/>
      <c r="R134" s="20"/>
    </row>
    <row r="135" spans="1:18" x14ac:dyDescent="0.3">
      <c r="A135" s="2"/>
      <c r="B135" s="23"/>
      <c r="C135" s="23"/>
      <c r="D135" s="23"/>
      <c r="E135" s="23"/>
      <c r="F135" s="23"/>
      <c r="G135" s="23"/>
      <c r="H135" s="23"/>
      <c r="I135" s="23"/>
      <c r="J135" s="23"/>
      <c r="K135" s="23"/>
      <c r="L135" s="23"/>
      <c r="M135" s="23"/>
      <c r="N135" s="23"/>
      <c r="O135" s="23"/>
      <c r="P135" s="23"/>
      <c r="Q135" s="23"/>
      <c r="R135" s="20"/>
    </row>
    <row r="136" spans="1:18" x14ac:dyDescent="0.3">
      <c r="A136" s="2"/>
      <c r="B136" s="23"/>
      <c r="C136" s="23"/>
      <c r="D136" s="23"/>
      <c r="E136" s="23"/>
      <c r="F136" s="23"/>
      <c r="G136" s="23"/>
      <c r="H136" s="23"/>
      <c r="I136" s="23"/>
      <c r="J136" s="23"/>
      <c r="K136" s="23"/>
      <c r="L136" s="23"/>
      <c r="M136" s="23"/>
      <c r="N136" s="23"/>
      <c r="O136" s="23"/>
      <c r="P136" s="23"/>
      <c r="Q136" s="23"/>
      <c r="R136" s="20"/>
    </row>
    <row r="137" spans="1:18" x14ac:dyDescent="0.3">
      <c r="A137" s="2"/>
      <c r="B137" s="23"/>
      <c r="C137" s="23"/>
      <c r="D137" s="23"/>
      <c r="E137" s="23"/>
      <c r="F137" s="23"/>
      <c r="G137" s="23"/>
      <c r="H137" s="23"/>
      <c r="I137" s="23"/>
      <c r="J137" s="23"/>
      <c r="K137" s="23"/>
      <c r="L137" s="23"/>
      <c r="M137" s="23"/>
      <c r="N137" s="23"/>
      <c r="O137" s="23"/>
      <c r="P137" s="23"/>
      <c r="Q137" s="23"/>
      <c r="R137" s="20"/>
    </row>
    <row r="138" spans="1:18" x14ac:dyDescent="0.3">
      <c r="A138" s="2"/>
      <c r="B138" s="23"/>
      <c r="C138" s="23"/>
      <c r="D138" s="23"/>
      <c r="E138" s="23"/>
      <c r="F138" s="23"/>
      <c r="G138" s="23"/>
      <c r="H138" s="23"/>
      <c r="I138" s="23"/>
      <c r="J138" s="23"/>
      <c r="K138" s="23"/>
      <c r="L138" s="23"/>
      <c r="M138" s="23"/>
      <c r="N138" s="23"/>
      <c r="O138" s="23"/>
      <c r="P138" s="23"/>
      <c r="Q138" s="23"/>
      <c r="R138" s="20"/>
    </row>
    <row r="139" spans="1:18" x14ac:dyDescent="0.3">
      <c r="A139" s="2"/>
      <c r="B139" s="23"/>
      <c r="C139" s="23"/>
      <c r="D139" s="23"/>
      <c r="E139" s="23"/>
      <c r="F139" s="23"/>
      <c r="G139" s="23"/>
      <c r="H139" s="23"/>
      <c r="I139" s="23"/>
      <c r="J139" s="23"/>
      <c r="K139" s="23"/>
      <c r="L139" s="23"/>
      <c r="M139" s="23"/>
      <c r="N139" s="23"/>
      <c r="O139" s="23"/>
      <c r="P139" s="23"/>
      <c r="Q139" s="23"/>
      <c r="R139" s="20"/>
    </row>
    <row r="140" spans="1:18" x14ac:dyDescent="0.3">
      <c r="B140" s="23"/>
      <c r="C140" s="23"/>
      <c r="D140" s="23"/>
      <c r="E140" s="23"/>
      <c r="F140" s="23"/>
      <c r="G140" s="23"/>
      <c r="H140" s="23"/>
      <c r="I140" s="23"/>
      <c r="J140" s="23"/>
      <c r="K140" s="23"/>
      <c r="L140" s="23"/>
      <c r="M140" s="23"/>
      <c r="N140" s="23"/>
      <c r="O140" s="23"/>
      <c r="P140" s="23"/>
      <c r="Q140" s="23"/>
    </row>
    <row r="141" spans="1:18" x14ac:dyDescent="0.3">
      <c r="C141" s="23"/>
      <c r="D141" s="23"/>
      <c r="E141" s="23"/>
      <c r="F141" s="23"/>
      <c r="G141" s="23"/>
      <c r="H141" s="23"/>
      <c r="I141" s="23"/>
      <c r="J141" s="23"/>
      <c r="K141" s="23"/>
      <c r="L141" s="23"/>
      <c r="M141" s="23"/>
      <c r="N141" s="23"/>
      <c r="O141" s="23"/>
      <c r="P141" s="23"/>
      <c r="Q141" s="23"/>
    </row>
    <row r="142" spans="1:18" x14ac:dyDescent="0.3">
      <c r="C142" s="23"/>
      <c r="D142" s="23"/>
      <c r="E142" s="23"/>
      <c r="F142" s="23"/>
      <c r="G142" s="23"/>
      <c r="H142" s="23"/>
      <c r="I142" s="23"/>
      <c r="J142" s="23"/>
      <c r="K142" s="23"/>
      <c r="L142" s="23"/>
      <c r="M142" s="23"/>
      <c r="N142" s="23"/>
      <c r="O142" s="23"/>
      <c r="P142" s="23"/>
      <c r="Q142" s="23"/>
    </row>
    <row r="143" spans="1:18" x14ac:dyDescent="0.3">
      <c r="C143" s="23"/>
      <c r="D143" s="23"/>
      <c r="E143" s="23"/>
      <c r="F143" s="23"/>
      <c r="G143" s="23"/>
      <c r="H143" s="23"/>
      <c r="I143" s="23"/>
      <c r="J143" s="23"/>
      <c r="K143" s="23"/>
      <c r="L143" s="23"/>
      <c r="M143" s="23"/>
      <c r="N143" s="23"/>
      <c r="O143" s="23"/>
      <c r="P143" s="23"/>
      <c r="Q143" s="23"/>
    </row>
  </sheetData>
  <mergeCells count="77">
    <mergeCell ref="D8:G8"/>
    <mergeCell ref="D4:G4"/>
    <mergeCell ref="H4:I4"/>
    <mergeCell ref="K4:N4"/>
    <mergeCell ref="D5:G5"/>
    <mergeCell ref="H5:I5"/>
    <mergeCell ref="K5:N5"/>
    <mergeCell ref="D6:G6"/>
    <mergeCell ref="H6:I6"/>
    <mergeCell ref="K6:N6"/>
    <mergeCell ref="D7:G7"/>
    <mergeCell ref="K7:N7"/>
    <mergeCell ref="F23:G23"/>
    <mergeCell ref="D9:G9"/>
    <mergeCell ref="D10:G10"/>
    <mergeCell ref="D11:G11"/>
    <mergeCell ref="H14:I14"/>
    <mergeCell ref="F16:G16"/>
    <mergeCell ref="F17:G17"/>
    <mergeCell ref="F18:G18"/>
    <mergeCell ref="F19:G19"/>
    <mergeCell ref="F20:G20"/>
    <mergeCell ref="F21:G21"/>
    <mergeCell ref="F22:G22"/>
    <mergeCell ref="F24:G24"/>
    <mergeCell ref="F25:G25"/>
    <mergeCell ref="F26:I28"/>
    <mergeCell ref="B34:E34"/>
    <mergeCell ref="B35:E35"/>
    <mergeCell ref="B42:E42"/>
    <mergeCell ref="J42:N42"/>
    <mergeCell ref="J37:N37"/>
    <mergeCell ref="B38:E38"/>
    <mergeCell ref="J38:N38"/>
    <mergeCell ref="B39:E39"/>
    <mergeCell ref="J39:N39"/>
    <mergeCell ref="B37:E37"/>
    <mergeCell ref="AC39:AE39"/>
    <mergeCell ref="B40:E40"/>
    <mergeCell ref="J40:N40"/>
    <mergeCell ref="B41:E41"/>
    <mergeCell ref="J41:N41"/>
    <mergeCell ref="Z39:AB39"/>
    <mergeCell ref="B43:E43"/>
    <mergeCell ref="J43:N43"/>
    <mergeCell ref="B44:E44"/>
    <mergeCell ref="J44:N44"/>
    <mergeCell ref="B45:E45"/>
    <mergeCell ref="J45:N45"/>
    <mergeCell ref="B46:E46"/>
    <mergeCell ref="J46:N46"/>
    <mergeCell ref="J47:N47"/>
    <mergeCell ref="J48:N48"/>
    <mergeCell ref="E49:E51"/>
    <mergeCell ref="F49:F51"/>
    <mergeCell ref="G49:G51"/>
    <mergeCell ref="J49:N49"/>
    <mergeCell ref="B52:E52"/>
    <mergeCell ref="J52:N52"/>
    <mergeCell ref="B53:E53"/>
    <mergeCell ref="J53:N53"/>
    <mergeCell ref="B54:E54"/>
    <mergeCell ref="J54:N54"/>
    <mergeCell ref="B55:E55"/>
    <mergeCell ref="B56:E56"/>
    <mergeCell ref="B57:E57"/>
    <mergeCell ref="J57:P57"/>
    <mergeCell ref="B58:E58"/>
    <mergeCell ref="J58:P58"/>
    <mergeCell ref="E108:E109"/>
    <mergeCell ref="F108:G108"/>
    <mergeCell ref="B59:E59"/>
    <mergeCell ref="J59:P59"/>
    <mergeCell ref="E83:H83"/>
    <mergeCell ref="E87:E88"/>
    <mergeCell ref="F87:G87"/>
    <mergeCell ref="E104:H104"/>
  </mergeCells>
  <dataValidations count="7">
    <dataValidation type="list" allowBlank="1" showInputMessage="1" showErrorMessage="1" sqref="F16" xr:uid="{8073F997-0C01-43A4-91D1-E0E9856C6589}">
      <formula1>$Y$83:$Y$86</formula1>
    </dataValidation>
    <dataValidation type="list" allowBlank="1" showInputMessage="1" showErrorMessage="1" sqref="F56:G56" xr:uid="{31B5C833-2F60-4269-A943-CE20D40FAE49}">
      <formula1>$Q$83:$Q$86</formula1>
    </dataValidation>
    <dataValidation type="list" allowBlank="1" showInputMessage="1" showErrorMessage="1" sqref="F55:G55" xr:uid="{609E1B7C-B6E1-46CD-9EE3-830C8AD6B786}">
      <formula1>$O$83:$O$84</formula1>
    </dataValidation>
    <dataValidation type="list" allowBlank="1" showInputMessage="1" showErrorMessage="1" sqref="H9:I9" xr:uid="{085CE4C1-F3D5-4E90-8F12-3577143ADE6A}">
      <formula1>$P$83:$P$84</formula1>
    </dataValidation>
    <dataValidation type="list" allowBlank="1" showInputMessage="1" showErrorMessage="1" sqref="H8:I8 F17:F20 F23:F24" xr:uid="{F7BAF006-8570-44EE-974A-1B9FC0B4A7DA}">
      <formula1>$X$83:$X$84</formula1>
    </dataValidation>
    <dataValidation type="list" allowBlank="1" showInputMessage="1" showErrorMessage="1" sqref="H5:I5" xr:uid="{D535816E-EA93-42B5-9E24-2DFE81448A04}">
      <formula1>$W$83:$W$85</formula1>
    </dataValidation>
    <dataValidation type="list" allowBlank="1" showInputMessage="1" showErrorMessage="1" sqref="F52:G52" xr:uid="{D7DE23DD-ECA4-4910-8CE2-AB9A515DD32F}">
      <formula1>$X$83:$X$85</formula1>
    </dataValidation>
  </dataValidations>
  <pageMargins left="0.7" right="0.7" top="0.75" bottom="0.75" header="0.3" footer="0.3"/>
  <pageSetup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10D93-26CD-4E00-A9B9-F76B8920DFF1}">
  <sheetPr>
    <pageSetUpPr fitToPage="1"/>
  </sheetPr>
  <dimension ref="A1:AG39"/>
  <sheetViews>
    <sheetView zoomScaleNormal="100" workbookViewId="0">
      <selection activeCell="G35" sqref="G35"/>
    </sheetView>
  </sheetViews>
  <sheetFormatPr defaultRowHeight="14.4" x14ac:dyDescent="0.3"/>
  <cols>
    <col min="1" max="1" width="16.44140625" style="8" customWidth="1"/>
    <col min="10" max="10" width="3.6640625" customWidth="1"/>
    <col min="11" max="11" width="13.5546875" customWidth="1"/>
    <col min="18" max="18" width="3.6640625" customWidth="1"/>
    <col min="21" max="21" width="8.88671875" style="1"/>
    <col min="22" max="23" width="12.33203125" style="1" customWidth="1"/>
    <col min="24" max="24" width="12.5546875" style="1" customWidth="1"/>
    <col min="25" max="25" width="5.109375" customWidth="1"/>
    <col min="27" max="32" width="10.6640625" customWidth="1"/>
  </cols>
  <sheetData>
    <row r="1" spans="1:32" ht="39.75" customHeight="1" x14ac:dyDescent="0.45">
      <c r="A1" s="185" t="s">
        <v>204</v>
      </c>
      <c r="B1" s="185"/>
      <c r="C1" s="185"/>
      <c r="D1" s="185"/>
      <c r="E1" s="185"/>
      <c r="F1" s="185"/>
      <c r="G1" s="185"/>
      <c r="H1" s="185"/>
      <c r="I1" s="185"/>
      <c r="K1" s="185" t="s">
        <v>205</v>
      </c>
      <c r="L1" s="185"/>
      <c r="M1" s="185"/>
      <c r="N1" s="185"/>
      <c r="O1" s="185"/>
      <c r="P1" s="185"/>
      <c r="Q1" s="185"/>
      <c r="R1" s="25"/>
      <c r="S1" s="185" t="s">
        <v>206</v>
      </c>
      <c r="T1" s="185"/>
      <c r="U1" s="185"/>
      <c r="V1" s="185"/>
      <c r="W1" s="185"/>
      <c r="X1" s="185"/>
      <c r="Z1" s="185" t="s">
        <v>207</v>
      </c>
      <c r="AA1" s="185"/>
      <c r="AB1" s="185"/>
      <c r="AC1" s="185"/>
      <c r="AD1" s="185"/>
      <c r="AE1" s="185"/>
      <c r="AF1" s="185"/>
    </row>
    <row r="2" spans="1:32" x14ac:dyDescent="0.3">
      <c r="A2" s="26"/>
      <c r="B2" s="147" t="s">
        <v>113</v>
      </c>
      <c r="C2" s="147"/>
      <c r="D2" s="147"/>
      <c r="E2" s="147"/>
      <c r="F2" s="147" t="s">
        <v>139</v>
      </c>
      <c r="G2" s="147"/>
      <c r="H2" s="147"/>
      <c r="I2" s="147"/>
      <c r="K2" s="126" t="s">
        <v>141</v>
      </c>
      <c r="L2" s="147" t="s">
        <v>159</v>
      </c>
      <c r="M2" s="147"/>
      <c r="N2" s="147" t="s">
        <v>160</v>
      </c>
      <c r="O2" s="147"/>
      <c r="P2" s="147" t="s">
        <v>161</v>
      </c>
      <c r="Q2" s="147"/>
      <c r="R2" s="23"/>
      <c r="S2" s="186" t="s">
        <v>141</v>
      </c>
      <c r="T2" s="126" t="s">
        <v>208</v>
      </c>
      <c r="U2" s="108"/>
      <c r="V2" s="108"/>
      <c r="W2" s="108"/>
      <c r="X2" s="108"/>
      <c r="Z2" s="126" t="s">
        <v>141</v>
      </c>
      <c r="AA2" s="147" t="s">
        <v>159</v>
      </c>
      <c r="AB2" s="147"/>
      <c r="AC2" s="147" t="s">
        <v>160</v>
      </c>
      <c r="AD2" s="147"/>
      <c r="AE2" s="147" t="s">
        <v>161</v>
      </c>
      <c r="AF2" s="147"/>
    </row>
    <row r="3" spans="1:32" x14ac:dyDescent="0.3">
      <c r="A3" s="26"/>
      <c r="B3" s="108" t="s">
        <v>144</v>
      </c>
      <c r="C3" s="108" t="s">
        <v>145</v>
      </c>
      <c r="D3" s="108" t="s">
        <v>146</v>
      </c>
      <c r="E3" s="108" t="s">
        <v>147</v>
      </c>
      <c r="F3" s="108" t="s">
        <v>144</v>
      </c>
      <c r="G3" s="108" t="s">
        <v>145</v>
      </c>
      <c r="H3" s="108" t="s">
        <v>146</v>
      </c>
      <c r="I3" s="108" t="s">
        <v>148</v>
      </c>
      <c r="K3" s="126"/>
      <c r="L3" s="108" t="s">
        <v>163</v>
      </c>
      <c r="M3" s="108" t="s">
        <v>164</v>
      </c>
      <c r="N3" s="108" t="s">
        <v>163</v>
      </c>
      <c r="O3" s="108" t="s">
        <v>164</v>
      </c>
      <c r="P3" s="108" t="s">
        <v>163</v>
      </c>
      <c r="Q3" s="108" t="s">
        <v>164</v>
      </c>
      <c r="R3" s="23"/>
      <c r="S3" s="187"/>
      <c r="T3" s="126"/>
      <c r="U3" s="108" t="s">
        <v>141</v>
      </c>
      <c r="V3" s="108" t="s">
        <v>172</v>
      </c>
      <c r="W3" s="108" t="s">
        <v>173</v>
      </c>
      <c r="X3" s="108" t="s">
        <v>174</v>
      </c>
      <c r="Z3" s="126"/>
      <c r="AA3" s="108" t="s">
        <v>163</v>
      </c>
      <c r="AB3" s="108" t="s">
        <v>164</v>
      </c>
      <c r="AC3" s="108" t="s">
        <v>163</v>
      </c>
      <c r="AD3" s="108" t="s">
        <v>164</v>
      </c>
      <c r="AE3" s="108" t="s">
        <v>163</v>
      </c>
      <c r="AF3" s="108" t="s">
        <v>164</v>
      </c>
    </row>
    <row r="4" spans="1:32" x14ac:dyDescent="0.3">
      <c r="A4" s="114">
        <v>1</v>
      </c>
      <c r="B4" s="27">
        <v>77</v>
      </c>
      <c r="C4" s="27">
        <v>83.5</v>
      </c>
      <c r="D4" s="27">
        <v>82.5</v>
      </c>
      <c r="E4" s="27">
        <v>75.5</v>
      </c>
      <c r="F4" s="27">
        <v>77</v>
      </c>
      <c r="G4" s="27">
        <v>85.5</v>
      </c>
      <c r="H4" s="27">
        <v>82.5</v>
      </c>
      <c r="I4" s="27">
        <v>72</v>
      </c>
      <c r="K4" s="114">
        <v>1</v>
      </c>
      <c r="L4" s="28">
        <v>1.0290600000000001</v>
      </c>
      <c r="M4" s="28">
        <v>1.7010000000000001E-2</v>
      </c>
      <c r="N4" s="28">
        <v>1.0374399999999999</v>
      </c>
      <c r="O4" s="28">
        <v>3.3369999999999997E-2</v>
      </c>
      <c r="P4" s="28">
        <v>1.0905899999999999</v>
      </c>
      <c r="Q4" s="28">
        <v>6.4570000000000002E-2</v>
      </c>
      <c r="R4" s="29"/>
      <c r="S4" s="114">
        <f>U4</f>
        <v>1</v>
      </c>
      <c r="T4" s="114">
        <v>0</v>
      </c>
      <c r="U4" s="114">
        <v>1</v>
      </c>
      <c r="V4" s="28">
        <v>0.98029999999999995</v>
      </c>
      <c r="W4" s="28">
        <v>0.04</v>
      </c>
      <c r="X4" s="28">
        <v>-1.3100000000000001E-2</v>
      </c>
      <c r="Z4" s="114">
        <v>1</v>
      </c>
      <c r="AA4" s="28">
        <v>1.1346000000000001</v>
      </c>
      <c r="AB4" s="28">
        <v>8.6739999999999998E-2</v>
      </c>
      <c r="AC4" s="28">
        <v>1.12541</v>
      </c>
      <c r="AD4" s="114">
        <v>9.1319999999999998E-2</v>
      </c>
      <c r="AE4" s="28">
        <v>1.16873</v>
      </c>
      <c r="AF4" s="28">
        <v>0.11466</v>
      </c>
    </row>
    <row r="5" spans="1:32" x14ac:dyDescent="0.3">
      <c r="A5" s="114">
        <v>1.5</v>
      </c>
      <c r="B5" s="27">
        <v>84</v>
      </c>
      <c r="C5" s="27">
        <v>86.5</v>
      </c>
      <c r="D5" s="27">
        <v>86.5</v>
      </c>
      <c r="E5" s="27">
        <v>77</v>
      </c>
      <c r="F5" s="27">
        <v>84</v>
      </c>
      <c r="G5" s="27">
        <v>86.5</v>
      </c>
      <c r="H5" s="27">
        <v>87.5</v>
      </c>
      <c r="I5" s="27">
        <v>75.5</v>
      </c>
      <c r="K5" s="114">
        <v>1.5</v>
      </c>
      <c r="L5" s="28">
        <v>1.0299799999999999</v>
      </c>
      <c r="M5" s="28">
        <v>1.61E-2</v>
      </c>
      <c r="N5" s="28">
        <v>1.0381199999999999</v>
      </c>
      <c r="O5" s="28">
        <v>3.1199999999999999E-2</v>
      </c>
      <c r="P5" s="28">
        <v>1.08484</v>
      </c>
      <c r="Q5" s="28">
        <v>5.9029999999999999E-2</v>
      </c>
      <c r="R5" s="29"/>
      <c r="S5" s="114">
        <f t="shared" ref="S5:S28" si="0">U5</f>
        <v>1.5</v>
      </c>
      <c r="T5" s="114">
        <f>U4</f>
        <v>1</v>
      </c>
      <c r="U5" s="114">
        <v>1.5</v>
      </c>
      <c r="V5" s="28">
        <v>0.97994999999999999</v>
      </c>
      <c r="W5" s="28">
        <v>3.8550000000000001E-2</v>
      </c>
      <c r="X5" s="28">
        <v>-1.18E-2</v>
      </c>
      <c r="Z5" s="114">
        <v>1.5</v>
      </c>
      <c r="AA5" s="28">
        <v>1.1293200000000001</v>
      </c>
      <c r="AB5" s="28">
        <v>8.1140000000000004E-2</v>
      </c>
      <c r="AC5" s="28">
        <v>1.1206700000000001</v>
      </c>
      <c r="AD5" s="114">
        <v>8.4919999999999995E-2</v>
      </c>
      <c r="AE5" s="28">
        <v>1.1589499999999999</v>
      </c>
      <c r="AF5" s="28">
        <v>0.10606</v>
      </c>
    </row>
    <row r="6" spans="1:32" x14ac:dyDescent="0.3">
      <c r="A6" s="114">
        <v>2</v>
      </c>
      <c r="B6" s="27">
        <v>85.5</v>
      </c>
      <c r="C6" s="27">
        <v>86.5</v>
      </c>
      <c r="D6" s="27">
        <v>87.5</v>
      </c>
      <c r="E6" s="27">
        <v>86.5</v>
      </c>
      <c r="F6" s="27">
        <v>85.5</v>
      </c>
      <c r="G6" s="27">
        <v>86.5</v>
      </c>
      <c r="H6" s="27">
        <v>88.5</v>
      </c>
      <c r="I6" s="27">
        <v>81.5</v>
      </c>
      <c r="K6" s="114">
        <v>2</v>
      </c>
      <c r="L6" s="28">
        <v>1.0308999999999999</v>
      </c>
      <c r="M6" s="28">
        <v>1.52E-2</v>
      </c>
      <c r="N6" s="28">
        <v>1.0387999999999999</v>
      </c>
      <c r="O6" s="28">
        <v>2.9020000000000001E-2</v>
      </c>
      <c r="P6" s="28">
        <v>1.0790999999999999</v>
      </c>
      <c r="Q6" s="28">
        <v>5.3490000000000003E-2</v>
      </c>
      <c r="R6" s="29"/>
      <c r="S6" s="114">
        <f t="shared" si="0"/>
        <v>2</v>
      </c>
      <c r="T6" s="114">
        <f t="shared" ref="T6:T28" si="1">U5</f>
        <v>1.5</v>
      </c>
      <c r="U6" s="114">
        <v>2</v>
      </c>
      <c r="V6" s="28">
        <v>0.97960000000000003</v>
      </c>
      <c r="W6" s="28">
        <v>3.7100000000000001E-2</v>
      </c>
      <c r="X6" s="28">
        <v>-1.0500000000000001E-2</v>
      </c>
      <c r="Z6" s="114">
        <v>2</v>
      </c>
      <c r="AA6" s="28">
        <v>1.12405</v>
      </c>
      <c r="AB6" s="28">
        <v>7.5550000000000006E-2</v>
      </c>
      <c r="AC6" s="28">
        <v>1.11592</v>
      </c>
      <c r="AD6" s="114">
        <v>7.8509999999999996E-2</v>
      </c>
      <c r="AE6" s="28">
        <v>1.14917</v>
      </c>
      <c r="AF6" s="28">
        <v>9.7470000000000001E-2</v>
      </c>
    </row>
    <row r="7" spans="1:32" x14ac:dyDescent="0.3">
      <c r="A7" s="114">
        <v>3</v>
      </c>
      <c r="B7" s="27">
        <v>85.5</v>
      </c>
      <c r="C7" s="27">
        <v>86.9</v>
      </c>
      <c r="D7" s="27">
        <v>88.5</v>
      </c>
      <c r="E7" s="27">
        <v>87.5</v>
      </c>
      <c r="F7" s="27">
        <v>86.5</v>
      </c>
      <c r="G7" s="27">
        <v>89.5</v>
      </c>
      <c r="H7" s="27">
        <v>89.5</v>
      </c>
      <c r="I7" s="27">
        <v>82.5</v>
      </c>
      <c r="K7" s="114">
        <v>3</v>
      </c>
      <c r="L7" s="28">
        <v>1.0327299999999999</v>
      </c>
      <c r="M7" s="28">
        <v>1.338E-2</v>
      </c>
      <c r="N7" s="28">
        <v>1.04016</v>
      </c>
      <c r="O7" s="28">
        <v>2.4670000000000001E-2</v>
      </c>
      <c r="P7" s="28">
        <v>1.0676000000000001</v>
      </c>
      <c r="Q7" s="28">
        <v>4.24E-2</v>
      </c>
      <c r="R7" s="29"/>
      <c r="S7" s="114">
        <f t="shared" si="0"/>
        <v>3</v>
      </c>
      <c r="T7" s="114">
        <f t="shared" si="1"/>
        <v>2</v>
      </c>
      <c r="U7" s="114">
        <v>3</v>
      </c>
      <c r="V7" s="28">
        <v>0.97889999999999999</v>
      </c>
      <c r="W7" s="28">
        <v>3.4200000000000001E-2</v>
      </c>
      <c r="X7" s="28">
        <v>-7.9000000000000008E-3</v>
      </c>
      <c r="Z7" s="114">
        <v>3</v>
      </c>
      <c r="AA7" s="28">
        <v>1.1134999999999999</v>
      </c>
      <c r="AB7" s="28">
        <v>6.4360000000000001E-2</v>
      </c>
      <c r="AC7" s="28">
        <v>1.10643</v>
      </c>
      <c r="AD7" s="114">
        <v>6.5710000000000005E-2</v>
      </c>
      <c r="AE7" s="28">
        <v>1.1296200000000001</v>
      </c>
      <c r="AF7" s="28">
        <v>8.0269999999999994E-2</v>
      </c>
    </row>
    <row r="8" spans="1:32" x14ac:dyDescent="0.3">
      <c r="A8" s="114">
        <v>5</v>
      </c>
      <c r="B8" s="27">
        <v>86.5</v>
      </c>
      <c r="C8" s="27">
        <v>89.5</v>
      </c>
      <c r="D8" s="27">
        <v>89.5</v>
      </c>
      <c r="E8" s="27">
        <v>88.5</v>
      </c>
      <c r="F8" s="27">
        <v>88.5</v>
      </c>
      <c r="G8" s="27">
        <v>89.5</v>
      </c>
      <c r="H8" s="27">
        <v>89.5</v>
      </c>
      <c r="I8" s="27">
        <v>84</v>
      </c>
      <c r="K8" s="114">
        <v>5</v>
      </c>
      <c r="L8" s="28">
        <v>1.0364100000000001</v>
      </c>
      <c r="M8" s="28">
        <v>9.75E-3</v>
      </c>
      <c r="N8" s="28">
        <v>1.04288</v>
      </c>
      <c r="O8" s="28">
        <v>1.5959999999999998E-2</v>
      </c>
      <c r="P8" s="28">
        <v>1.04461</v>
      </c>
      <c r="Q8" s="28">
        <v>2.0240000000000001E-2</v>
      </c>
      <c r="R8" s="29"/>
      <c r="S8" s="114">
        <f t="shared" si="0"/>
        <v>5</v>
      </c>
      <c r="T8" s="114">
        <f t="shared" si="1"/>
        <v>3</v>
      </c>
      <c r="U8" s="114">
        <v>5</v>
      </c>
      <c r="V8" s="28">
        <v>0.97750000000000004</v>
      </c>
      <c r="W8" s="28">
        <v>2.8400000000000002E-2</v>
      </c>
      <c r="X8" s="28">
        <v>-2.7000000000000001E-3</v>
      </c>
      <c r="Z8" s="114">
        <v>5</v>
      </c>
      <c r="AA8" s="28">
        <v>1.0924100000000001</v>
      </c>
      <c r="AB8" s="28">
        <v>4.197E-2</v>
      </c>
      <c r="AC8" s="28">
        <v>1.08745</v>
      </c>
      <c r="AD8" s="114">
        <v>4.0090000000000001E-2</v>
      </c>
      <c r="AE8" s="28">
        <v>1.0905100000000001</v>
      </c>
      <c r="AF8" s="28">
        <v>4.5879999999999997E-2</v>
      </c>
    </row>
    <row r="9" spans="1:32" x14ac:dyDescent="0.3">
      <c r="A9" s="114">
        <v>7.5</v>
      </c>
      <c r="B9" s="27">
        <v>88.5</v>
      </c>
      <c r="C9" s="27">
        <v>91</v>
      </c>
      <c r="D9" s="27">
        <v>90.2</v>
      </c>
      <c r="E9" s="27">
        <v>89.5</v>
      </c>
      <c r="F9" s="27">
        <v>89.5</v>
      </c>
      <c r="G9" s="27">
        <v>91.7</v>
      </c>
      <c r="H9" s="27">
        <v>91</v>
      </c>
      <c r="I9" s="27">
        <v>84</v>
      </c>
      <c r="K9" s="114">
        <v>7.5</v>
      </c>
      <c r="L9" s="28">
        <v>1.0348900000000001</v>
      </c>
      <c r="M9" s="28">
        <v>8.9200000000000008E-3</v>
      </c>
      <c r="N9" s="28">
        <v>1.04077</v>
      </c>
      <c r="O9" s="28">
        <v>1.4460000000000001E-2</v>
      </c>
      <c r="P9" s="28">
        <v>1.04243</v>
      </c>
      <c r="Q9" s="28">
        <v>1.7979999999999999E-2</v>
      </c>
      <c r="R9" s="29"/>
      <c r="S9" s="114">
        <f t="shared" si="0"/>
        <v>7.5</v>
      </c>
      <c r="T9" s="114">
        <f t="shared" si="1"/>
        <v>5</v>
      </c>
      <c r="U9" s="114">
        <v>7.5</v>
      </c>
      <c r="V9" s="28">
        <v>0.97809999999999997</v>
      </c>
      <c r="W9" s="28">
        <v>2.53E-2</v>
      </c>
      <c r="X9" s="28">
        <v>-4.0000000000000002E-4</v>
      </c>
      <c r="Z9" s="114">
        <v>7.5</v>
      </c>
      <c r="AA9" s="28">
        <v>1.08883</v>
      </c>
      <c r="AB9" s="28">
        <v>3.9899999999999998E-2</v>
      </c>
      <c r="AC9" s="28">
        <v>1.0833999999999999</v>
      </c>
      <c r="AD9" s="114">
        <v>3.7449999999999997E-2</v>
      </c>
      <c r="AE9" s="28">
        <v>1.08579</v>
      </c>
      <c r="AF9" s="28">
        <v>4.2169999999999999E-2</v>
      </c>
    </row>
    <row r="10" spans="1:32" x14ac:dyDescent="0.3">
      <c r="A10" s="114">
        <v>10</v>
      </c>
      <c r="B10" s="27">
        <v>89.5</v>
      </c>
      <c r="C10" s="27">
        <v>91.7</v>
      </c>
      <c r="D10" s="27">
        <v>91.7</v>
      </c>
      <c r="E10" s="27">
        <v>90.2</v>
      </c>
      <c r="F10" s="27">
        <v>90.2</v>
      </c>
      <c r="G10" s="27">
        <v>91.7</v>
      </c>
      <c r="H10" s="27">
        <v>91</v>
      </c>
      <c r="I10" s="27">
        <v>87.5</v>
      </c>
      <c r="K10" s="114">
        <v>10</v>
      </c>
      <c r="L10" s="28">
        <v>1.03338</v>
      </c>
      <c r="M10" s="28">
        <v>8.0800000000000004E-3</v>
      </c>
      <c r="N10" s="28">
        <v>1.0386599999999999</v>
      </c>
      <c r="O10" s="28">
        <v>1.2959999999999999E-2</v>
      </c>
      <c r="P10" s="28">
        <v>1.0402499999999999</v>
      </c>
      <c r="Q10" s="28">
        <v>1.5720000000000001E-2</v>
      </c>
      <c r="R10" s="29"/>
      <c r="S10" s="114">
        <f t="shared" si="0"/>
        <v>10</v>
      </c>
      <c r="T10" s="114">
        <f t="shared" si="1"/>
        <v>7.5</v>
      </c>
      <c r="U10" s="114">
        <v>10</v>
      </c>
      <c r="V10" s="28">
        <v>0.97870000000000001</v>
      </c>
      <c r="W10" s="28">
        <v>2.2200000000000001E-2</v>
      </c>
      <c r="X10" s="28">
        <v>1.9E-3</v>
      </c>
      <c r="Z10" s="114">
        <v>10</v>
      </c>
      <c r="AA10" s="28">
        <v>1.0852599999999999</v>
      </c>
      <c r="AB10" s="28">
        <v>3.7830000000000003E-2</v>
      </c>
      <c r="AC10" s="28">
        <v>1.0793600000000001</v>
      </c>
      <c r="AD10" s="114">
        <v>3.4810000000000001E-2</v>
      </c>
      <c r="AE10" s="28">
        <v>1.08107</v>
      </c>
      <c r="AF10" s="28">
        <v>3.8460000000000001E-2</v>
      </c>
    </row>
    <row r="11" spans="1:32" x14ac:dyDescent="0.3">
      <c r="A11" s="114">
        <v>15</v>
      </c>
      <c r="B11" s="27">
        <v>90.2</v>
      </c>
      <c r="C11" s="27">
        <v>93</v>
      </c>
      <c r="D11" s="27">
        <v>91.7</v>
      </c>
      <c r="E11" s="27">
        <v>90.2</v>
      </c>
      <c r="F11" s="27">
        <v>91</v>
      </c>
      <c r="G11" s="27">
        <v>92.4</v>
      </c>
      <c r="H11" s="27">
        <v>91.7</v>
      </c>
      <c r="I11" s="27">
        <v>87.5</v>
      </c>
      <c r="K11" s="114">
        <v>15</v>
      </c>
      <c r="L11" s="28">
        <v>1.0303500000000001</v>
      </c>
      <c r="M11" s="28">
        <v>6.4099999999999999E-3</v>
      </c>
      <c r="N11" s="28">
        <v>1.03443</v>
      </c>
      <c r="O11" s="28">
        <v>9.9600000000000001E-3</v>
      </c>
      <c r="P11" s="28">
        <v>1.0358799999999999</v>
      </c>
      <c r="Q11" s="28">
        <v>1.1209999999999999E-2</v>
      </c>
      <c r="R11" s="29"/>
      <c r="S11" s="114">
        <f t="shared" si="0"/>
        <v>15</v>
      </c>
      <c r="T11" s="114">
        <f t="shared" si="1"/>
        <v>10</v>
      </c>
      <c r="U11" s="114">
        <v>15</v>
      </c>
      <c r="V11" s="28">
        <v>0.98185</v>
      </c>
      <c r="W11" s="28">
        <v>1.985E-2</v>
      </c>
      <c r="X11" s="28">
        <v>6.9999999999999999E-4</v>
      </c>
      <c r="Z11" s="114">
        <v>15</v>
      </c>
      <c r="AA11" s="28">
        <v>1.0781099999999999</v>
      </c>
      <c r="AB11" s="28">
        <v>3.3680000000000002E-2</v>
      </c>
      <c r="AC11" s="28">
        <v>1.0712699999999999</v>
      </c>
      <c r="AD11" s="114">
        <v>2.9530000000000001E-2</v>
      </c>
      <c r="AE11" s="28">
        <v>1.0716300000000001</v>
      </c>
      <c r="AF11" s="28">
        <v>3.1040000000000002E-2</v>
      </c>
    </row>
    <row r="12" spans="1:32" x14ac:dyDescent="0.3">
      <c r="A12" s="114">
        <v>20</v>
      </c>
      <c r="B12" s="27">
        <v>91</v>
      </c>
      <c r="C12" s="27">
        <v>93</v>
      </c>
      <c r="D12" s="27">
        <v>92.4</v>
      </c>
      <c r="E12" s="27">
        <v>91</v>
      </c>
      <c r="F12" s="27">
        <v>91</v>
      </c>
      <c r="G12" s="27">
        <v>93</v>
      </c>
      <c r="H12" s="27">
        <v>91.7</v>
      </c>
      <c r="I12" s="27">
        <v>88.5</v>
      </c>
      <c r="K12" s="114">
        <v>20</v>
      </c>
      <c r="L12" s="28">
        <v>1.02732</v>
      </c>
      <c r="M12" s="28">
        <v>4.7400000000000003E-3</v>
      </c>
      <c r="N12" s="28">
        <v>1.0302100000000001</v>
      </c>
      <c r="O12" s="28">
        <v>6.96E-3</v>
      </c>
      <c r="P12" s="28">
        <v>1.03152</v>
      </c>
      <c r="Q12" s="28">
        <v>6.7000000000000002E-3</v>
      </c>
      <c r="R12" s="29"/>
      <c r="S12" s="114">
        <f t="shared" si="0"/>
        <v>20</v>
      </c>
      <c r="T12" s="114">
        <f t="shared" si="1"/>
        <v>15</v>
      </c>
      <c r="U12" s="114">
        <v>20</v>
      </c>
      <c r="V12" s="28">
        <v>0.98499999999999999</v>
      </c>
      <c r="W12" s="28">
        <v>1.7500000000000002E-2</v>
      </c>
      <c r="X12" s="28">
        <v>-5.0000000000000001E-4</v>
      </c>
      <c r="Z12" s="114">
        <v>20</v>
      </c>
      <c r="AA12" s="28">
        <v>1.0709599999999999</v>
      </c>
      <c r="AB12" s="28">
        <v>2.9530000000000001E-2</v>
      </c>
      <c r="AC12" s="28">
        <v>1.06318</v>
      </c>
      <c r="AD12" s="114">
        <v>2.4250000000000001E-2</v>
      </c>
      <c r="AE12" s="28">
        <v>1.0621799999999999</v>
      </c>
      <c r="AF12" s="28">
        <v>2.3619999999999999E-2</v>
      </c>
    </row>
    <row r="13" spans="1:32" x14ac:dyDescent="0.3">
      <c r="A13" s="114">
        <v>25</v>
      </c>
      <c r="B13" s="27">
        <v>91.7</v>
      </c>
      <c r="C13" s="27">
        <v>93.6</v>
      </c>
      <c r="D13" s="27">
        <v>93</v>
      </c>
      <c r="E13" s="27">
        <v>91</v>
      </c>
      <c r="F13" s="27">
        <v>91.7</v>
      </c>
      <c r="G13" s="27">
        <v>93.6</v>
      </c>
      <c r="H13" s="27">
        <v>93</v>
      </c>
      <c r="I13" s="27">
        <v>88.5</v>
      </c>
      <c r="K13" s="114">
        <v>25</v>
      </c>
      <c r="L13" s="28">
        <v>1.02654</v>
      </c>
      <c r="M13" s="28">
        <v>4.7600000000000003E-3</v>
      </c>
      <c r="N13" s="28">
        <v>1.0288200000000001</v>
      </c>
      <c r="O13" s="28">
        <v>6.4200000000000004E-3</v>
      </c>
      <c r="P13" s="28">
        <v>1.0297700000000001</v>
      </c>
      <c r="Q13" s="28">
        <v>6.2199999999999998E-3</v>
      </c>
      <c r="R13" s="29"/>
      <c r="S13" s="114">
        <f t="shared" si="0"/>
        <v>25</v>
      </c>
      <c r="T13" s="114">
        <f t="shared" si="1"/>
        <v>20</v>
      </c>
      <c r="U13" s="114">
        <v>25</v>
      </c>
      <c r="V13" s="28">
        <v>0.98619999999999997</v>
      </c>
      <c r="W13" s="28">
        <v>1.6500000000000001E-2</v>
      </c>
      <c r="X13" s="28">
        <v>-3.2000000000000002E-3</v>
      </c>
      <c r="Z13" s="114">
        <v>25</v>
      </c>
      <c r="AA13" s="28">
        <v>1.0694900000000001</v>
      </c>
      <c r="AB13" s="28">
        <v>2.9229999999999999E-2</v>
      </c>
      <c r="AC13" s="28">
        <v>1.06033</v>
      </c>
      <c r="AD13" s="114">
        <v>2.291E-2</v>
      </c>
      <c r="AE13" s="28">
        <v>1.05966</v>
      </c>
      <c r="AF13" s="28">
        <v>2.257E-2</v>
      </c>
    </row>
    <row r="14" spans="1:32" x14ac:dyDescent="0.3">
      <c r="A14" s="114">
        <v>30</v>
      </c>
      <c r="B14" s="27">
        <v>91.7</v>
      </c>
      <c r="C14" s="27">
        <v>94.1</v>
      </c>
      <c r="D14" s="27">
        <v>93.6</v>
      </c>
      <c r="E14" s="27">
        <v>91.7</v>
      </c>
      <c r="F14" s="27">
        <v>91.7</v>
      </c>
      <c r="G14" s="27">
        <v>93.6</v>
      </c>
      <c r="H14" s="27">
        <v>93</v>
      </c>
      <c r="I14" s="27">
        <v>90.2</v>
      </c>
      <c r="K14" s="114">
        <v>30</v>
      </c>
      <c r="L14" s="28">
        <v>1.0257499999999999</v>
      </c>
      <c r="M14" s="28">
        <v>4.7800000000000004E-3</v>
      </c>
      <c r="N14" s="28">
        <v>1.02742</v>
      </c>
      <c r="O14" s="28">
        <v>5.8799999999999998E-3</v>
      </c>
      <c r="P14" s="28">
        <v>1.02803</v>
      </c>
      <c r="Q14" s="28">
        <v>5.7499999999999999E-3</v>
      </c>
      <c r="R14" s="29"/>
      <c r="S14" s="114">
        <f t="shared" si="0"/>
        <v>30</v>
      </c>
      <c r="T14" s="114">
        <f t="shared" si="1"/>
        <v>25</v>
      </c>
      <c r="U14" s="114">
        <v>30</v>
      </c>
      <c r="V14" s="28">
        <v>0.98740000000000006</v>
      </c>
      <c r="W14" s="28">
        <v>1.55E-2</v>
      </c>
      <c r="X14" s="28">
        <v>-5.8999999999999999E-3</v>
      </c>
      <c r="Z14" s="114">
        <v>30</v>
      </c>
      <c r="AA14" s="28">
        <v>1.06802</v>
      </c>
      <c r="AB14" s="28">
        <v>2.8920000000000001E-2</v>
      </c>
      <c r="AC14" s="28">
        <v>1.05749</v>
      </c>
      <c r="AD14" s="114">
        <v>2.1569999999999999E-2</v>
      </c>
      <c r="AE14" s="28">
        <v>1.0571299999999999</v>
      </c>
      <c r="AF14" s="28">
        <v>2.1520000000000001E-2</v>
      </c>
    </row>
    <row r="15" spans="1:32" x14ac:dyDescent="0.3">
      <c r="A15" s="114">
        <v>40</v>
      </c>
      <c r="B15" s="27">
        <v>92.4</v>
      </c>
      <c r="C15" s="27">
        <v>94.1</v>
      </c>
      <c r="D15" s="27">
        <v>94.1</v>
      </c>
      <c r="E15" s="27">
        <v>91.7</v>
      </c>
      <c r="F15" s="27">
        <v>92.4</v>
      </c>
      <c r="G15" s="27">
        <v>94.1</v>
      </c>
      <c r="H15" s="27">
        <v>94.1</v>
      </c>
      <c r="I15" s="27">
        <v>90.2</v>
      </c>
      <c r="K15" s="114">
        <v>40</v>
      </c>
      <c r="L15" s="28">
        <v>1.0241800000000001</v>
      </c>
      <c r="M15" s="28">
        <v>4.81E-3</v>
      </c>
      <c r="N15" s="28">
        <v>1.02464</v>
      </c>
      <c r="O15" s="28">
        <v>4.79E-3</v>
      </c>
      <c r="P15" s="28">
        <v>1.02454</v>
      </c>
      <c r="Q15" s="28">
        <v>4.7999999999999996E-3</v>
      </c>
      <c r="R15" s="29"/>
      <c r="S15" s="114">
        <f t="shared" si="0"/>
        <v>40</v>
      </c>
      <c r="T15" s="114">
        <f t="shared" si="1"/>
        <v>30</v>
      </c>
      <c r="U15" s="114">
        <v>40</v>
      </c>
      <c r="V15" s="28">
        <v>0.98765000000000003</v>
      </c>
      <c r="W15" s="28">
        <v>1.695E-2</v>
      </c>
      <c r="X15" s="28">
        <v>-3.8E-3</v>
      </c>
      <c r="Z15" s="114">
        <v>40</v>
      </c>
      <c r="AA15" s="28">
        <v>1.06508</v>
      </c>
      <c r="AB15" s="28">
        <v>2.8309999999999998E-2</v>
      </c>
      <c r="AC15" s="28">
        <v>1.0518000000000001</v>
      </c>
      <c r="AD15" s="114">
        <v>1.8890000000000001E-2</v>
      </c>
      <c r="AE15" s="28">
        <v>1.0520799999999999</v>
      </c>
      <c r="AF15" s="28">
        <v>1.942E-2</v>
      </c>
    </row>
    <row r="16" spans="1:32" x14ac:dyDescent="0.3">
      <c r="A16" s="114">
        <v>50</v>
      </c>
      <c r="B16" s="27">
        <v>93</v>
      </c>
      <c r="C16" s="27">
        <v>94.5</v>
      </c>
      <c r="D16" s="27">
        <v>94.1</v>
      </c>
      <c r="E16" s="27">
        <v>92.4</v>
      </c>
      <c r="F16" s="27">
        <v>93</v>
      </c>
      <c r="G16" s="27">
        <v>94.5</v>
      </c>
      <c r="H16" s="27">
        <v>94.1</v>
      </c>
      <c r="I16" s="27">
        <v>91</v>
      </c>
      <c r="K16" s="114">
        <v>50</v>
      </c>
      <c r="L16" s="28">
        <v>1.02261</v>
      </c>
      <c r="M16" s="28">
        <v>4.8500000000000001E-3</v>
      </c>
      <c r="N16" s="28">
        <v>1.0218499999999999</v>
      </c>
      <c r="O16" s="28">
        <v>3.7000000000000002E-3</v>
      </c>
      <c r="P16" s="28">
        <v>1.0210600000000001</v>
      </c>
      <c r="Q16" s="28">
        <v>3.8400000000000001E-3</v>
      </c>
      <c r="R16" s="29"/>
      <c r="S16" s="114">
        <f t="shared" si="0"/>
        <v>50</v>
      </c>
      <c r="T16" s="114">
        <f t="shared" si="1"/>
        <v>40</v>
      </c>
      <c r="U16" s="114">
        <v>50</v>
      </c>
      <c r="V16" s="28">
        <v>0.9879</v>
      </c>
      <c r="W16" s="28">
        <v>1.84E-2</v>
      </c>
      <c r="X16" s="28">
        <v>-1.6999999999999999E-3</v>
      </c>
      <c r="Z16" s="114">
        <v>50</v>
      </c>
      <c r="AA16" s="28">
        <v>1.0621400000000001</v>
      </c>
      <c r="AB16" s="28">
        <v>2.7689999999999999E-2</v>
      </c>
      <c r="AC16" s="28">
        <v>1.0461199999999999</v>
      </c>
      <c r="AD16" s="114">
        <v>1.6209999999999999E-2</v>
      </c>
      <c r="AE16" s="28">
        <v>1.0470299999999999</v>
      </c>
      <c r="AF16" s="28">
        <v>1.7319999999999999E-2</v>
      </c>
    </row>
    <row r="17" spans="1:33" x14ac:dyDescent="0.3">
      <c r="A17" s="114">
        <v>60</v>
      </c>
      <c r="B17" s="27">
        <v>93.6</v>
      </c>
      <c r="C17" s="27">
        <v>95</v>
      </c>
      <c r="D17" s="27">
        <v>94.5</v>
      </c>
      <c r="E17" s="27">
        <v>93</v>
      </c>
      <c r="F17" s="27">
        <v>93.6</v>
      </c>
      <c r="G17" s="27">
        <v>95</v>
      </c>
      <c r="H17" s="27">
        <v>94.5</v>
      </c>
      <c r="I17" s="27">
        <v>91</v>
      </c>
      <c r="K17" s="114">
        <v>60</v>
      </c>
      <c r="L17" s="28">
        <v>1.0222599999999999</v>
      </c>
      <c r="M17" s="28">
        <v>4.4900000000000001E-3</v>
      </c>
      <c r="N17" s="28">
        <v>1.0209999999999999</v>
      </c>
      <c r="O17" s="28">
        <v>3.5000000000000001E-3</v>
      </c>
      <c r="P17" s="28">
        <v>1.02057</v>
      </c>
      <c r="Q17" s="28">
        <v>3.9899999999999996E-3</v>
      </c>
      <c r="R17" s="29"/>
      <c r="S17" s="114">
        <f t="shared" si="0"/>
        <v>60</v>
      </c>
      <c r="T17" s="114">
        <f t="shared" si="1"/>
        <v>50</v>
      </c>
      <c r="U17" s="114">
        <v>60</v>
      </c>
      <c r="V17" s="28">
        <v>0.97189999999999999</v>
      </c>
      <c r="W17" s="28">
        <v>1.4500000000000001E-2</v>
      </c>
      <c r="X17" s="28">
        <v>1.18E-2</v>
      </c>
      <c r="Z17" s="114">
        <v>60</v>
      </c>
      <c r="AA17" s="28">
        <v>1.0594600000000001</v>
      </c>
      <c r="AB17" s="28">
        <v>2.5850000000000001E-2</v>
      </c>
      <c r="AC17" s="28">
        <v>1.04436</v>
      </c>
      <c r="AD17" s="114">
        <v>1.5559999999999999E-2</v>
      </c>
      <c r="AE17" s="28">
        <v>1.0455300000000001</v>
      </c>
      <c r="AF17" s="28">
        <v>1.6910000000000001E-2</v>
      </c>
    </row>
    <row r="18" spans="1:33" x14ac:dyDescent="0.3">
      <c r="A18" s="114">
        <v>75</v>
      </c>
      <c r="B18" s="27">
        <v>93.6</v>
      </c>
      <c r="C18" s="27">
        <v>95</v>
      </c>
      <c r="D18" s="27">
        <v>94.5</v>
      </c>
      <c r="E18" s="27">
        <v>94.1</v>
      </c>
      <c r="F18" s="27">
        <v>93.6</v>
      </c>
      <c r="G18" s="27">
        <v>95.4</v>
      </c>
      <c r="H18" s="27">
        <v>94.5</v>
      </c>
      <c r="I18" s="27">
        <v>92.4</v>
      </c>
      <c r="K18" s="114">
        <v>75</v>
      </c>
      <c r="L18" s="28">
        <v>1.0217400000000001</v>
      </c>
      <c r="M18" s="28">
        <v>3.9500000000000004E-3</v>
      </c>
      <c r="N18" s="28">
        <v>1.01972</v>
      </c>
      <c r="O18" s="28">
        <v>3.2000000000000002E-3</v>
      </c>
      <c r="P18" s="28">
        <v>1.0198499999999999</v>
      </c>
      <c r="Q18" s="28">
        <v>4.1999999999999997E-3</v>
      </c>
      <c r="R18" s="29"/>
      <c r="S18" s="114">
        <f t="shared" si="0"/>
        <v>75</v>
      </c>
      <c r="T18" s="114">
        <f t="shared" si="1"/>
        <v>60</v>
      </c>
      <c r="U18" s="114">
        <v>75</v>
      </c>
      <c r="V18" s="28">
        <v>0.9919</v>
      </c>
      <c r="W18" s="28">
        <v>1.7899999999999999E-2</v>
      </c>
      <c r="X18" s="28">
        <v>-1.2999999999999999E-3</v>
      </c>
      <c r="Z18" s="114">
        <v>75</v>
      </c>
      <c r="AA18" s="28">
        <v>1.0554399999999999</v>
      </c>
      <c r="AB18" s="28">
        <v>2.3089999999999999E-2</v>
      </c>
      <c r="AC18" s="28">
        <v>1.04172</v>
      </c>
      <c r="AD18" s="114">
        <v>1.4590000000000001E-2</v>
      </c>
      <c r="AE18" s="28">
        <v>1.04328</v>
      </c>
      <c r="AF18" s="28">
        <v>1.6310000000000002E-2</v>
      </c>
      <c r="AG18">
        <f>1-(AC18/(AD18+1))</f>
        <v>-2.6739865364334259E-2</v>
      </c>
    </row>
    <row r="19" spans="1:33" x14ac:dyDescent="0.3">
      <c r="A19" s="114">
        <v>100</v>
      </c>
      <c r="B19" s="27">
        <v>93.6</v>
      </c>
      <c r="C19" s="27">
        <v>95.4</v>
      </c>
      <c r="D19" s="27">
        <v>95</v>
      </c>
      <c r="E19" s="27">
        <v>94.1</v>
      </c>
      <c r="F19" s="27">
        <v>94.1</v>
      </c>
      <c r="G19" s="27">
        <v>95.4</v>
      </c>
      <c r="H19" s="27">
        <v>95</v>
      </c>
      <c r="I19" s="27">
        <v>92.4</v>
      </c>
      <c r="K19" s="114">
        <v>100</v>
      </c>
      <c r="L19" s="28">
        <v>1.0208699999999999</v>
      </c>
      <c r="M19" s="28">
        <v>3.0599999999999998E-3</v>
      </c>
      <c r="N19" s="28">
        <v>1.0175799999999999</v>
      </c>
      <c r="O19" s="28">
        <v>2.6900000000000001E-3</v>
      </c>
      <c r="P19" s="28">
        <v>1.01864</v>
      </c>
      <c r="Q19" s="28">
        <v>4.5500000000000002E-3</v>
      </c>
      <c r="R19" s="29"/>
      <c r="S19" s="114">
        <f t="shared" si="0"/>
        <v>100</v>
      </c>
      <c r="T19" s="114">
        <f t="shared" si="1"/>
        <v>75</v>
      </c>
      <c r="U19" s="114">
        <v>100</v>
      </c>
      <c r="V19" s="28">
        <v>0.98240000000000005</v>
      </c>
      <c r="W19" s="28">
        <v>1.26E-2</v>
      </c>
      <c r="X19" s="28">
        <v>1.4E-3</v>
      </c>
      <c r="Z19" s="114">
        <v>100</v>
      </c>
      <c r="AA19" s="28">
        <v>1.04874</v>
      </c>
      <c r="AB19" s="28">
        <v>1.8489999999999999E-2</v>
      </c>
      <c r="AC19" s="28">
        <v>1.03732</v>
      </c>
      <c r="AD19" s="114">
        <v>1.298E-2</v>
      </c>
      <c r="AE19" s="28">
        <v>1.0395399999999999</v>
      </c>
      <c r="AF19" s="28">
        <v>1.5299999999999999E-2</v>
      </c>
      <c r="AG19">
        <f>1-(AC19/(AD19+1))</f>
        <v>-2.402811506643765E-2</v>
      </c>
    </row>
    <row r="20" spans="1:33" x14ac:dyDescent="0.3">
      <c r="A20" s="114">
        <v>125</v>
      </c>
      <c r="B20" s="27">
        <v>94.1</v>
      </c>
      <c r="C20" s="27">
        <v>95.4</v>
      </c>
      <c r="D20" s="27">
        <v>95</v>
      </c>
      <c r="E20" s="27">
        <v>94.1</v>
      </c>
      <c r="F20" s="27">
        <v>95</v>
      </c>
      <c r="G20" s="27">
        <v>95.4</v>
      </c>
      <c r="H20" s="27">
        <v>95</v>
      </c>
      <c r="I20" s="27">
        <v>93</v>
      </c>
      <c r="K20" s="114">
        <v>125</v>
      </c>
      <c r="L20" s="28">
        <v>1.01997</v>
      </c>
      <c r="M20" s="28">
        <v>2.99E-3</v>
      </c>
      <c r="N20" s="28">
        <v>1.01725</v>
      </c>
      <c r="O20" s="28">
        <v>2.8600000000000001E-3</v>
      </c>
      <c r="P20" s="28">
        <v>1.01956</v>
      </c>
      <c r="Q20" s="28">
        <v>4.5900000000000003E-3</v>
      </c>
      <c r="R20" s="29"/>
      <c r="S20" s="114">
        <f t="shared" si="0"/>
        <v>125</v>
      </c>
      <c r="T20" s="114">
        <f t="shared" si="1"/>
        <v>100</v>
      </c>
      <c r="U20" s="114">
        <v>125</v>
      </c>
      <c r="V20" s="28">
        <v>0.98292999999999997</v>
      </c>
      <c r="W20" s="28">
        <v>1.1900000000000001E-2</v>
      </c>
      <c r="X20" s="28">
        <v>-1E-4</v>
      </c>
      <c r="Z20" s="114">
        <v>125</v>
      </c>
      <c r="AA20" s="28">
        <v>1.0471299999999999</v>
      </c>
      <c r="AB20" s="28">
        <v>1.813E-2</v>
      </c>
      <c r="AC20" s="28">
        <v>1.03731</v>
      </c>
      <c r="AD20" s="114">
        <v>1.332E-2</v>
      </c>
      <c r="AE20" s="28">
        <v>1.03948</v>
      </c>
      <c r="AF20" s="28">
        <v>1.4630000000000001E-2</v>
      </c>
    </row>
    <row r="21" spans="1:33" x14ac:dyDescent="0.3">
      <c r="A21" s="114">
        <v>150</v>
      </c>
      <c r="B21" s="27">
        <v>94.1</v>
      </c>
      <c r="C21" s="27">
        <v>95.8</v>
      </c>
      <c r="D21" s="27">
        <v>95.4</v>
      </c>
      <c r="E21" s="27">
        <v>94.1</v>
      </c>
      <c r="F21" s="27">
        <v>95</v>
      </c>
      <c r="G21" s="27">
        <v>95.8</v>
      </c>
      <c r="H21" s="27">
        <v>95.8</v>
      </c>
      <c r="I21" s="27">
        <v>93</v>
      </c>
      <c r="K21" s="114">
        <v>150</v>
      </c>
      <c r="L21" s="28">
        <v>1.0190699999999999</v>
      </c>
      <c r="M21" s="28">
        <v>2.9299999999999999E-3</v>
      </c>
      <c r="N21" s="28">
        <v>1.01692</v>
      </c>
      <c r="O21" s="28">
        <v>3.0300000000000001E-3</v>
      </c>
      <c r="P21" s="28">
        <v>1.02047</v>
      </c>
      <c r="Q21" s="28">
        <v>4.62E-3</v>
      </c>
      <c r="R21" s="29"/>
      <c r="S21" s="114">
        <f t="shared" si="0"/>
        <v>150</v>
      </c>
      <c r="T21" s="114">
        <f t="shared" si="1"/>
        <v>125</v>
      </c>
      <c r="U21" s="114">
        <v>150</v>
      </c>
      <c r="V21" s="28">
        <v>0.98345000000000005</v>
      </c>
      <c r="W21" s="28">
        <v>1.12E-2</v>
      </c>
      <c r="X21" s="28">
        <v>-1.6000000000000001E-3</v>
      </c>
      <c r="Z21" s="114">
        <v>150</v>
      </c>
      <c r="AA21" s="28">
        <v>1.0455300000000001</v>
      </c>
      <c r="AB21" s="28">
        <v>1.7780000000000001E-2</v>
      </c>
      <c r="AC21" s="28">
        <v>1.03729</v>
      </c>
      <c r="AD21" s="114">
        <v>1.3650000000000001E-2</v>
      </c>
      <c r="AE21" s="28">
        <v>1.03942</v>
      </c>
      <c r="AF21" s="28">
        <v>1.396E-2</v>
      </c>
    </row>
    <row r="22" spans="1:33" x14ac:dyDescent="0.3">
      <c r="A22" s="114">
        <v>200</v>
      </c>
      <c r="B22" s="27">
        <v>95</v>
      </c>
      <c r="C22" s="27">
        <v>95.8</v>
      </c>
      <c r="D22" s="27">
        <v>95.4</v>
      </c>
      <c r="E22" s="27">
        <v>94.1</v>
      </c>
      <c r="F22" s="27">
        <v>95.4</v>
      </c>
      <c r="G22" s="27">
        <v>96.2</v>
      </c>
      <c r="H22" s="27">
        <v>95.8</v>
      </c>
      <c r="I22" s="27">
        <v>93.6</v>
      </c>
      <c r="K22" s="114">
        <v>200</v>
      </c>
      <c r="L22" s="28">
        <v>1.0172699999999999</v>
      </c>
      <c r="M22" s="28">
        <v>2.8E-3</v>
      </c>
      <c r="N22" s="28">
        <v>1.0162599999999999</v>
      </c>
      <c r="O22" s="28">
        <v>3.3600000000000001E-3</v>
      </c>
      <c r="P22" s="28">
        <v>1.0223</v>
      </c>
      <c r="Q22" s="28">
        <v>4.6800000000000001E-3</v>
      </c>
      <c r="R22" s="29"/>
      <c r="S22" s="114">
        <f t="shared" si="0"/>
        <v>200</v>
      </c>
      <c r="T22" s="114">
        <f t="shared" si="1"/>
        <v>150</v>
      </c>
      <c r="U22" s="114">
        <v>200</v>
      </c>
      <c r="V22" s="28">
        <v>0.98450000000000004</v>
      </c>
      <c r="W22" s="28">
        <v>9.7999999999999997E-3</v>
      </c>
      <c r="X22" s="28">
        <v>-4.5999999999999999E-3</v>
      </c>
      <c r="Z22" s="114">
        <v>200</v>
      </c>
      <c r="AA22" s="28">
        <v>1.0423100000000001</v>
      </c>
      <c r="AB22" s="28">
        <v>1.7069999999999998E-2</v>
      </c>
      <c r="AC22" s="28">
        <v>1.0372600000000001</v>
      </c>
      <c r="AD22" s="114">
        <v>1.4319999999999999E-2</v>
      </c>
      <c r="AE22" s="28">
        <v>1.03931</v>
      </c>
      <c r="AF22" s="28">
        <v>1.2619999999999999E-2</v>
      </c>
    </row>
    <row r="23" spans="1:33" x14ac:dyDescent="0.3">
      <c r="A23" s="114">
        <v>250</v>
      </c>
      <c r="B23" s="27">
        <v>95</v>
      </c>
      <c r="C23" s="27">
        <v>95.8</v>
      </c>
      <c r="D23" s="27">
        <v>95.4</v>
      </c>
      <c r="E23" s="27">
        <v>95</v>
      </c>
      <c r="F23" s="27">
        <v>95.8</v>
      </c>
      <c r="G23" s="27">
        <v>96.2</v>
      </c>
      <c r="H23" s="27">
        <v>95.8</v>
      </c>
      <c r="I23" s="27">
        <v>94.1</v>
      </c>
      <c r="K23" s="114">
        <v>250</v>
      </c>
      <c r="L23" s="28">
        <v>1.0172699999999999</v>
      </c>
      <c r="M23" s="28">
        <v>2.8E-3</v>
      </c>
      <c r="N23" s="28">
        <v>1.0162599999999999</v>
      </c>
      <c r="O23" s="28">
        <v>3.3600000000000001E-3</v>
      </c>
      <c r="P23" s="28">
        <v>1.0223</v>
      </c>
      <c r="Q23" s="28">
        <v>4.6800000000000001E-3</v>
      </c>
      <c r="R23" s="29"/>
      <c r="S23" s="114">
        <f t="shared" si="0"/>
        <v>250</v>
      </c>
      <c r="T23" s="114">
        <f t="shared" si="1"/>
        <v>200</v>
      </c>
      <c r="U23" s="114">
        <v>250</v>
      </c>
      <c r="V23" s="28">
        <v>0.98450000000000004</v>
      </c>
      <c r="W23" s="28">
        <v>9.7999999999999997E-3</v>
      </c>
      <c r="X23" s="28">
        <v>-4.5999999999999999E-3</v>
      </c>
      <c r="Z23" s="114">
        <v>250</v>
      </c>
      <c r="AA23" s="28">
        <v>1.0423100000000001</v>
      </c>
      <c r="AB23" s="28">
        <v>1.7069999999999998E-2</v>
      </c>
      <c r="AC23" s="28">
        <v>1.0372600000000001</v>
      </c>
      <c r="AD23" s="114">
        <v>1.4319999999999999E-2</v>
      </c>
      <c r="AE23" s="28">
        <v>1.03931</v>
      </c>
      <c r="AF23" s="28">
        <v>1.2619999999999999E-2</v>
      </c>
    </row>
    <row r="24" spans="1:33" x14ac:dyDescent="0.3">
      <c r="A24" s="114">
        <v>300</v>
      </c>
      <c r="B24" s="27">
        <v>95.4</v>
      </c>
      <c r="C24" s="27">
        <v>95.8</v>
      </c>
      <c r="F24" s="27">
        <v>95.8</v>
      </c>
      <c r="G24" s="27">
        <v>96.2</v>
      </c>
      <c r="H24" s="27"/>
      <c r="I24" s="27"/>
      <c r="K24" s="114">
        <v>300</v>
      </c>
      <c r="L24" s="28">
        <v>1.0172699999999999</v>
      </c>
      <c r="M24" s="28">
        <v>2.8E-3</v>
      </c>
      <c r="N24" s="28">
        <v>1.0162599999999999</v>
      </c>
      <c r="O24" s="28">
        <v>3.3600000000000001E-3</v>
      </c>
      <c r="P24" s="28">
        <v>1.0223</v>
      </c>
      <c r="Q24" s="28">
        <v>4.6800000000000001E-3</v>
      </c>
      <c r="R24" s="29"/>
      <c r="S24" s="114">
        <f t="shared" si="0"/>
        <v>300</v>
      </c>
      <c r="T24" s="114">
        <f t="shared" si="1"/>
        <v>250</v>
      </c>
      <c r="U24" s="114">
        <v>300</v>
      </c>
      <c r="V24" s="28">
        <v>0.98450000000000004</v>
      </c>
      <c r="W24" s="28">
        <v>9.7999999999999997E-3</v>
      </c>
      <c r="X24" s="28">
        <v>-4.5999999999999999E-3</v>
      </c>
      <c r="Z24" s="114">
        <v>300</v>
      </c>
      <c r="AA24" s="28">
        <v>1.0423100000000001</v>
      </c>
      <c r="AB24" s="28">
        <v>1.7069999999999998E-2</v>
      </c>
      <c r="AC24" s="28">
        <v>1.0372600000000001</v>
      </c>
      <c r="AD24" s="114">
        <v>1.4319999999999999E-2</v>
      </c>
      <c r="AE24" s="28">
        <v>1.03931</v>
      </c>
      <c r="AF24" s="28">
        <v>1.2619999999999999E-2</v>
      </c>
    </row>
    <row r="25" spans="1:33" x14ac:dyDescent="0.3">
      <c r="A25" s="114">
        <v>350</v>
      </c>
      <c r="B25" s="27">
        <v>95.4</v>
      </c>
      <c r="C25" s="27">
        <v>95.8</v>
      </c>
      <c r="F25" s="27">
        <v>95.8</v>
      </c>
      <c r="G25" s="27">
        <v>96.2</v>
      </c>
      <c r="H25" s="27"/>
      <c r="I25" s="27"/>
      <c r="K25" s="114">
        <v>350</v>
      </c>
      <c r="L25" s="28">
        <v>1.0172699999999999</v>
      </c>
      <c r="M25" s="28">
        <v>2.8E-3</v>
      </c>
      <c r="N25" s="28">
        <v>1.0162599999999999</v>
      </c>
      <c r="O25" s="28">
        <v>3.3600000000000001E-3</v>
      </c>
      <c r="P25" s="28">
        <v>1.0223</v>
      </c>
      <c r="Q25" s="28">
        <v>4.6800000000000001E-3</v>
      </c>
      <c r="R25" s="29"/>
      <c r="S25" s="114">
        <f t="shared" si="0"/>
        <v>350</v>
      </c>
      <c r="T25" s="114">
        <f t="shared" si="1"/>
        <v>300</v>
      </c>
      <c r="U25" s="114">
        <v>350</v>
      </c>
      <c r="V25" s="28">
        <v>0.98450000000000004</v>
      </c>
      <c r="W25" s="28">
        <v>9.7999999999999997E-3</v>
      </c>
      <c r="X25" s="28">
        <v>-4.5999999999999999E-3</v>
      </c>
      <c r="Z25" s="114">
        <v>350</v>
      </c>
      <c r="AA25" s="28">
        <v>1.0423100000000001</v>
      </c>
      <c r="AB25" s="28">
        <v>1.7069999999999998E-2</v>
      </c>
      <c r="AC25" s="28">
        <v>1.0372600000000001</v>
      </c>
      <c r="AD25" s="114">
        <v>1.4319999999999999E-2</v>
      </c>
      <c r="AE25" s="28">
        <v>1.03931</v>
      </c>
      <c r="AF25" s="28">
        <v>1.2619999999999999E-2</v>
      </c>
    </row>
    <row r="26" spans="1:33" x14ac:dyDescent="0.3">
      <c r="A26" s="114">
        <v>400</v>
      </c>
      <c r="B26" s="27">
        <v>95.8</v>
      </c>
      <c r="C26" s="27">
        <v>95.8</v>
      </c>
      <c r="F26" s="27">
        <v>95.8</v>
      </c>
      <c r="G26" s="27">
        <v>96.2</v>
      </c>
      <c r="H26" s="27"/>
      <c r="I26" s="27"/>
      <c r="K26" s="114">
        <v>400</v>
      </c>
      <c r="L26" s="28">
        <v>1.0172699999999999</v>
      </c>
      <c r="M26" s="28">
        <v>2.8E-3</v>
      </c>
      <c r="N26" s="28">
        <v>1.0162599999999999</v>
      </c>
      <c r="O26" s="28">
        <v>3.3600000000000001E-3</v>
      </c>
      <c r="P26" s="28">
        <v>1.0223</v>
      </c>
      <c r="Q26" s="28">
        <v>4.6800000000000001E-3</v>
      </c>
      <c r="R26" s="29"/>
      <c r="S26" s="114">
        <f t="shared" si="0"/>
        <v>400</v>
      </c>
      <c r="T26" s="114">
        <f t="shared" si="1"/>
        <v>350</v>
      </c>
      <c r="U26" s="114">
        <v>400</v>
      </c>
      <c r="V26" s="28">
        <v>0.98450000000000004</v>
      </c>
      <c r="W26" s="28">
        <v>9.7999999999999997E-3</v>
      </c>
      <c r="X26" s="28">
        <v>-4.5999999999999999E-3</v>
      </c>
      <c r="Z26" s="114">
        <v>400</v>
      </c>
      <c r="AA26" s="28">
        <v>1.0423100000000001</v>
      </c>
      <c r="AB26" s="28">
        <v>1.7069999999999998E-2</v>
      </c>
      <c r="AC26" s="28">
        <v>1.0372600000000001</v>
      </c>
      <c r="AD26" s="114">
        <v>1.4319999999999999E-2</v>
      </c>
      <c r="AE26" s="28">
        <v>1.03931</v>
      </c>
      <c r="AF26" s="28">
        <v>1.2619999999999999E-2</v>
      </c>
    </row>
    <row r="27" spans="1:33" x14ac:dyDescent="0.3">
      <c r="A27" s="114">
        <v>450</v>
      </c>
      <c r="B27" s="27">
        <v>95.8</v>
      </c>
      <c r="C27" s="27">
        <v>96.2</v>
      </c>
      <c r="F27" s="27">
        <v>95.8</v>
      </c>
      <c r="G27" s="27">
        <v>96.2</v>
      </c>
      <c r="H27" s="27"/>
      <c r="I27" s="27"/>
      <c r="K27" s="114">
        <v>450</v>
      </c>
      <c r="L27" s="28">
        <v>1.0172699999999999</v>
      </c>
      <c r="M27" s="28">
        <v>2.8E-3</v>
      </c>
      <c r="N27" s="28">
        <v>1.0162599999999999</v>
      </c>
      <c r="O27" s="28">
        <v>3.3600000000000001E-3</v>
      </c>
      <c r="P27" s="28">
        <v>1.0223</v>
      </c>
      <c r="Q27" s="28">
        <v>4.6800000000000001E-3</v>
      </c>
      <c r="R27" s="29"/>
      <c r="S27" s="114">
        <f t="shared" si="0"/>
        <v>450</v>
      </c>
      <c r="T27" s="114">
        <f t="shared" si="1"/>
        <v>400</v>
      </c>
      <c r="U27" s="114">
        <v>450</v>
      </c>
      <c r="V27" s="28">
        <v>0.98450000000000004</v>
      </c>
      <c r="W27" s="28">
        <v>9.7999999999999997E-3</v>
      </c>
      <c r="X27" s="28">
        <v>-4.5999999999999999E-3</v>
      </c>
      <c r="Z27" s="114">
        <v>450</v>
      </c>
      <c r="AA27" s="28">
        <v>1.0423100000000001</v>
      </c>
      <c r="AB27" s="28">
        <v>1.7069999999999998E-2</v>
      </c>
      <c r="AC27" s="28">
        <v>1.0372600000000001</v>
      </c>
      <c r="AD27" s="114">
        <v>1.4319999999999999E-2</v>
      </c>
      <c r="AE27" s="28">
        <v>1.03931</v>
      </c>
      <c r="AF27" s="28">
        <v>1.2619999999999999E-2</v>
      </c>
    </row>
    <row r="28" spans="1:33" x14ac:dyDescent="0.3">
      <c r="A28" s="114">
        <v>500</v>
      </c>
      <c r="B28" s="27">
        <v>95.8</v>
      </c>
      <c r="C28" s="27">
        <v>96.2</v>
      </c>
      <c r="F28" s="27">
        <v>95.8</v>
      </c>
      <c r="G28" s="27">
        <v>96.2</v>
      </c>
      <c r="H28" s="27"/>
      <c r="I28" s="27"/>
      <c r="K28" s="114">
        <v>500</v>
      </c>
      <c r="L28" s="28">
        <v>1.0172699999999999</v>
      </c>
      <c r="M28" s="28">
        <v>2.8E-3</v>
      </c>
      <c r="N28" s="28">
        <v>1.0162599999999999</v>
      </c>
      <c r="O28" s="28">
        <v>3.3600000000000001E-3</v>
      </c>
      <c r="P28" s="28">
        <v>1.0223</v>
      </c>
      <c r="Q28" s="28">
        <v>4.6800000000000001E-3</v>
      </c>
      <c r="R28" s="29"/>
      <c r="S28" s="114">
        <f t="shared" si="0"/>
        <v>500</v>
      </c>
      <c r="T28" s="114">
        <f t="shared" si="1"/>
        <v>450</v>
      </c>
      <c r="U28" s="114">
        <v>500</v>
      </c>
      <c r="V28" s="28">
        <v>0.98450000000000004</v>
      </c>
      <c r="W28" s="28">
        <v>9.7999999999999997E-3</v>
      </c>
      <c r="X28" s="28">
        <v>-4.5999999999999999E-3</v>
      </c>
      <c r="Z28" s="114">
        <v>500</v>
      </c>
      <c r="AA28" s="28">
        <v>1.0423100000000001</v>
      </c>
      <c r="AB28" s="28">
        <v>1.7069999999999998E-2</v>
      </c>
      <c r="AC28" s="28">
        <v>1.0372600000000001</v>
      </c>
      <c r="AD28" s="114">
        <v>1.4319999999999999E-2</v>
      </c>
      <c r="AE28" s="28">
        <v>1.03931</v>
      </c>
      <c r="AF28" s="28">
        <v>1.2619999999999999E-2</v>
      </c>
    </row>
    <row r="38" spans="1:1" x14ac:dyDescent="0.3">
      <c r="A38" s="24"/>
    </row>
    <row r="39" spans="1:1" x14ac:dyDescent="0.3">
      <c r="A39" s="24"/>
    </row>
  </sheetData>
  <mergeCells count="16">
    <mergeCell ref="AE2:AF2"/>
    <mergeCell ref="A1:I1"/>
    <mergeCell ref="K1:Q1"/>
    <mergeCell ref="S1:X1"/>
    <mergeCell ref="Z1:AF1"/>
    <mergeCell ref="B2:E2"/>
    <mergeCell ref="F2:I2"/>
    <mergeCell ref="K2:K3"/>
    <mergeCell ref="L2:M2"/>
    <mergeCell ref="N2:O2"/>
    <mergeCell ref="P2:Q2"/>
    <mergeCell ref="S2:S3"/>
    <mergeCell ref="T2:T3"/>
    <mergeCell ref="Z2:Z3"/>
    <mergeCell ref="AA2:AB2"/>
    <mergeCell ref="AC2:AD2"/>
  </mergeCells>
  <printOptions gridLines="1"/>
  <pageMargins left="0.25" right="0.25" top="0.75" bottom="0.75" header="0.3" footer="0.3"/>
  <pageSetup paperSize="5" scale="57" orientation="landscape" r:id="rId1"/>
  <headerFooter>
    <oddHeader>&amp;L&amp;G&amp;R&amp;G</oddHeader>
    <oddFooter>&amp;L&amp;Z&amp;F&amp;RPage &amp;P of &amp;N</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19DBC4683F3D74CB0B590AE04FABA38" ma:contentTypeVersion="13" ma:contentTypeDescription="Create a new document." ma:contentTypeScope="" ma:versionID="4b0686e57422e7b8ca03fbb03f6f2c94">
  <xsd:schema xmlns:xsd="http://www.w3.org/2001/XMLSchema" xmlns:xs="http://www.w3.org/2001/XMLSchema" xmlns:p="http://schemas.microsoft.com/office/2006/metadata/properties" xmlns:ns2="7d7c56b6-60ae-4cb2-9f26-6c683a80dc94" xmlns:ns3="2d74df4e-0521-4b4a-837c-1826824f9e3d" targetNamespace="http://schemas.microsoft.com/office/2006/metadata/properties" ma:root="true" ma:fieldsID="bcc8554c3a33831173c28e39a2321315" ns2:_="" ns3:_="">
    <xsd:import namespace="7d7c56b6-60ae-4cb2-9f26-6c683a80dc94"/>
    <xsd:import namespace="2d74df4e-0521-4b4a-837c-1826824f9e3d"/>
    <xsd:element name="properties">
      <xsd:complexType>
        <xsd:sequence>
          <xsd:element name="documentManagement">
            <xsd:complexType>
              <xsd:all>
                <xsd:element ref="ns2:CASE_x0020_Measure" minOccurs="0"/>
                <xsd:element ref="ns2:MediaServiceMetadata" minOccurs="0"/>
                <xsd:element ref="ns2:MediaServiceFastMetadata" minOccurs="0"/>
                <xsd:element ref="ns2:MediaServiceAutoKeyPoints" minOccurs="0"/>
                <xsd:element ref="ns2:MediaServiceKeyPoints" minOccurs="0"/>
                <xsd:element ref="ns2:MediaServiceAutoTags" minOccurs="0"/>
                <xsd:element ref="ns3:SharedWithUsers" minOccurs="0"/>
                <xsd:element ref="ns3:SharedWithDetails"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d7c56b6-60ae-4cb2-9f26-6c683a80dc94" elementFormDefault="qualified">
    <xsd:import namespace="http://schemas.microsoft.com/office/2006/documentManagement/types"/>
    <xsd:import namespace="http://schemas.microsoft.com/office/infopath/2007/PartnerControls"/>
    <xsd:element name="CASE_x0020_Measure" ma:index="8" nillable="true" ma:displayName="CASE Report" ma:format="Dropdown" ma:indexed="true" ma:internalName="CASE_x0020_Measure">
      <xsd:simpleType>
        <xsd:restriction base="dms:Choice">
          <xsd:enumeration value="Nonresidential Drainwater Heat Recovery"/>
          <xsd:enumeration value="Nonresidential Reduced Infiltration"/>
          <xsd:enumeration value="Nonresidential Outdoor Lighting Sources"/>
          <xsd:enumeration value="Nonresidential Plug Load Modeling"/>
          <xsd:enumeration value="Nonresidential Indoor Lighting"/>
          <xsd:enumeration value="Nonresidential High Performance Envelope"/>
          <xsd:enumeration value="Nonresidential Grid Integration"/>
          <xsd:enumeration value="Nonresidential Daylighting"/>
          <xsd:enumeration value="Nonresidential HVAC Controls"/>
          <xsd:enumeration value="Nonresidential High Efficiency Boilers and Service Water Heating"/>
          <xsd:enumeration value="Nonresidential Data Center Efficiency"/>
          <xsd:enumeration value="Nonresidential Covered Processes"/>
          <xsd:enumeration value="Nonresidential Air Distribution"/>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3" nillable="true" ma:displayName="Tags" ma:internalName="MediaServiceAutoTags"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d74df4e-0521-4b4a-837c-1826824f9e3d"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CASE_x0020_Measure xmlns="7d7c56b6-60ae-4cb2-9f26-6c683a80dc9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EE9B31-43CC-49F6-8684-F0D87330A8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d7c56b6-60ae-4cb2-9f26-6c683a80dc94"/>
    <ds:schemaRef ds:uri="2d74df4e-0521-4b4a-837c-1826824f9e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02AC17-887A-4364-A30E-770C7D5C3C87}">
  <ds:schemaRefs>
    <ds:schemaRef ds:uri="http://purl.org/dc/terms/"/>
    <ds:schemaRef ds:uri="http://schemas.microsoft.com/office/2006/documentManagement/types"/>
    <ds:schemaRef ds:uri="http://www.w3.org/XML/1998/namespace"/>
    <ds:schemaRef ds:uri="7d7c56b6-60ae-4cb2-9f26-6c683a80dc94"/>
    <ds:schemaRef ds:uri="http://purl.org/dc/dcmitype/"/>
    <ds:schemaRef ds:uri="http://schemas.openxmlformats.org/package/2006/metadata/core-properties"/>
    <ds:schemaRef ds:uri="http://schemas.microsoft.com/office/2006/metadata/properties"/>
    <ds:schemaRef ds:uri="http://schemas.microsoft.com/office/infopath/2007/PartnerControls"/>
    <ds:schemaRef ds:uri="2d74df4e-0521-4b4a-837c-1826824f9e3d"/>
    <ds:schemaRef ds:uri="http://purl.org/dc/elements/1.1/"/>
  </ds:schemaRefs>
</ds:datastoreItem>
</file>

<file path=customXml/itemProps3.xml><?xml version="1.0" encoding="utf-8"?>
<ds:datastoreItem xmlns:ds="http://schemas.openxmlformats.org/officeDocument/2006/customXml" ds:itemID="{427161D6-75B5-46DA-998E-D45A8EDE25B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Introduction</vt:lpstr>
      <vt:lpstr>Single Fan Template</vt:lpstr>
      <vt:lpstr>Sup-Ret Fan Template</vt:lpstr>
      <vt:lpstr>Complex System Template</vt:lpstr>
      <vt:lpstr>Complex System Template (2)</vt:lpstr>
      <vt:lpstr>constantsHP</vt:lpstr>
      <vt:lpstr>constantsHP!Print_Area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Bade</dc:creator>
  <cp:keywords/>
  <dc:description/>
  <cp:lastModifiedBy>John Bade</cp:lastModifiedBy>
  <cp:revision/>
  <dcterms:created xsi:type="dcterms:W3CDTF">2021-04-05T14:11:51Z</dcterms:created>
  <dcterms:modified xsi:type="dcterms:W3CDTF">2022-01-31T00:04:46Z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0x010100619DBC4683F3D74CB0B590AE04FABA38</vt:lpwstr>
  </property>
</Properties>
</file>