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theme/themeOverride1.xml" ContentType="application/vnd.openxmlformats-officedocument.themeOverride+xml"/>
  <Override PartName="/xl/charts/chart2.xml" ContentType="application/vnd.openxmlformats-officedocument.drawingml.chart+xml"/>
  <Override PartName="/xl/theme/themeOverride2.xml" ContentType="application/vnd.openxmlformats-officedocument.themeOverride+xml"/>
  <Override PartName="/xl/drawings/drawing3.xml" ContentType="application/vnd.openxmlformats-officedocument.drawing+xml"/>
  <Override PartName="/xl/embeddings/oleObject1.bin" ContentType="application/vnd.openxmlformats-officedocument.oleObject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teve\Desktop\ASHRAE\Orlando 2025\"/>
    </mc:Choice>
  </mc:AlternateContent>
  <xr:revisionPtr revIDLastSave="0" documentId="8_{0EC33C4F-1339-4002-8C61-CAE1E0B06E93}" xr6:coauthVersionLast="47" xr6:coauthVersionMax="47" xr10:uidLastSave="{00000000-0000-0000-0000-000000000000}"/>
  <workbookProtection workbookAlgorithmName="SHA-512" workbookHashValue="9yXB1mK7QEUxaVJOA3PJoskACG/G7voagigCb6xhmJ13DF7JfWLdFOroW87UJzLjVUTWnP6py20XPc6gDpYOfQ==" workbookSaltValue="ASeHRCH/Oc7lcRxauNnXLg==" workbookSpinCount="100000" lockStructure="1"/>
  <bookViews>
    <workbookView xWindow="-108" yWindow="-108" windowWidth="27288" windowHeight="17664" xr2:uid="{00000000-000D-0000-FFFF-FFFF00000000}"/>
  </bookViews>
  <sheets>
    <sheet name="READ ME" sheetId="10" r:id="rId1"/>
    <sheet name="SELECT" sheetId="9" r:id="rId2"/>
    <sheet name="Coeff+Calc" sheetId="8" state="hidden" r:id="rId3"/>
  </sheets>
  <definedNames>
    <definedName name="_xlnm.Print_Area" localSheetId="1">SELECT!$B$2:$Q$46</definedName>
  </definedNames>
  <calcPr calcId="191029" calcMode="manual"/>
</workbook>
</file>

<file path=xl/calcChain.xml><?xml version="1.0" encoding="utf-8"?>
<calcChain xmlns="http://schemas.openxmlformats.org/spreadsheetml/2006/main">
  <c r="E12" i="9" l="1"/>
  <c r="E11" i="9"/>
  <c r="E10" i="9"/>
  <c r="H19" i="9"/>
  <c r="H18" i="9"/>
  <c r="D20" i="9" l="1"/>
  <c r="E20" i="9" l="1"/>
  <c r="K16" i="9"/>
  <c r="D19" i="9" s="1"/>
  <c r="G10" i="9" l="1"/>
  <c r="F10" i="9" s="1"/>
  <c r="M1" i="8" l="1"/>
  <c r="G12" i="9" l="1"/>
  <c r="F12" i="9" s="1"/>
  <c r="G11" i="9"/>
  <c r="F11" i="9" s="1"/>
  <c r="M2" i="8" l="1"/>
  <c r="M3" i="8"/>
  <c r="F14" i="9"/>
  <c r="B12" i="9"/>
  <c r="B11" i="9"/>
  <c r="B10" i="9"/>
  <c r="N1" i="8" l="1"/>
  <c r="H3" i="8"/>
  <c r="D14" i="9"/>
  <c r="C13" i="9"/>
  <c r="J119" i="8" l="1"/>
  <c r="L119" i="8" s="1"/>
  <c r="J118" i="8"/>
  <c r="L118" i="8" s="1"/>
  <c r="J117" i="8"/>
  <c r="L117" i="8" s="1"/>
  <c r="J116" i="8"/>
  <c r="L116" i="8" s="1"/>
  <c r="J115" i="8"/>
  <c r="L115" i="8" s="1"/>
  <c r="J114" i="8"/>
  <c r="L114" i="8" s="1"/>
  <c r="L113" i="8"/>
  <c r="J113" i="8"/>
  <c r="J112" i="8"/>
  <c r="L112" i="8" s="1"/>
  <c r="J111" i="8"/>
  <c r="L111" i="8" s="1"/>
  <c r="J110" i="8"/>
  <c r="L110" i="8" s="1"/>
  <c r="J109" i="8"/>
  <c r="L109" i="8" s="1"/>
  <c r="J108" i="8"/>
  <c r="L108" i="8" s="1"/>
  <c r="J107" i="8"/>
  <c r="L107" i="8" s="1"/>
  <c r="J106" i="8"/>
  <c r="L106" i="8" s="1"/>
  <c r="J105" i="8"/>
  <c r="L105" i="8" s="1"/>
  <c r="J104" i="8"/>
  <c r="L104" i="8" s="1"/>
  <c r="J103" i="8"/>
  <c r="L103" i="8" s="1"/>
  <c r="J102" i="8"/>
  <c r="L102" i="8" s="1"/>
  <c r="J101" i="8"/>
  <c r="L101" i="8" s="1"/>
  <c r="J100" i="8"/>
  <c r="L100" i="8" s="1"/>
  <c r="J99" i="8"/>
  <c r="L99" i="8" s="1"/>
  <c r="J98" i="8"/>
  <c r="L98" i="8" s="1"/>
  <c r="J97" i="8"/>
  <c r="L97" i="8" s="1"/>
  <c r="J96" i="8"/>
  <c r="L96" i="8" s="1"/>
  <c r="J89" i="8"/>
  <c r="L89" i="8" s="1"/>
  <c r="J88" i="8"/>
  <c r="L88" i="8" s="1"/>
  <c r="J87" i="8"/>
  <c r="L87" i="8" s="1"/>
  <c r="J86" i="8"/>
  <c r="L86" i="8" s="1"/>
  <c r="J85" i="8"/>
  <c r="L85" i="8" s="1"/>
  <c r="J84" i="8"/>
  <c r="L84" i="8" s="1"/>
  <c r="J83" i="8"/>
  <c r="L83" i="8" s="1"/>
  <c r="J82" i="8"/>
  <c r="L82" i="8" s="1"/>
  <c r="J81" i="8"/>
  <c r="L81" i="8" s="1"/>
  <c r="J80" i="8"/>
  <c r="L80" i="8" s="1"/>
  <c r="J79" i="8"/>
  <c r="L79" i="8" s="1"/>
  <c r="J78" i="8"/>
  <c r="L78" i="8" s="1"/>
  <c r="J77" i="8"/>
  <c r="L77" i="8" s="1"/>
  <c r="J76" i="8"/>
  <c r="L76" i="8" s="1"/>
  <c r="J75" i="8"/>
  <c r="L75" i="8" s="1"/>
  <c r="J74" i="8"/>
  <c r="L74" i="8" s="1"/>
  <c r="J73" i="8"/>
  <c r="L73" i="8" s="1"/>
  <c r="J72" i="8"/>
  <c r="L72" i="8" s="1"/>
  <c r="J71" i="8"/>
  <c r="L71" i="8" s="1"/>
  <c r="J70" i="8"/>
  <c r="L70" i="8" s="1"/>
  <c r="J69" i="8"/>
  <c r="L69" i="8" s="1"/>
  <c r="J68" i="8"/>
  <c r="L68" i="8" s="1"/>
  <c r="J67" i="8"/>
  <c r="L67" i="8" s="1"/>
  <c r="J66" i="8"/>
  <c r="L66" i="8" s="1"/>
  <c r="J16" i="9"/>
  <c r="C15" i="9"/>
  <c r="C14" i="9"/>
  <c r="H59" i="8" l="1"/>
  <c r="J59" i="8" s="1"/>
  <c r="H58" i="8"/>
  <c r="J58" i="8" s="1"/>
  <c r="H57" i="8"/>
  <c r="J57" i="8" s="1"/>
  <c r="H56" i="8"/>
  <c r="J56" i="8" s="1"/>
  <c r="H55" i="8"/>
  <c r="J55" i="8" s="1"/>
  <c r="H54" i="8"/>
  <c r="J54" i="8" s="1"/>
  <c r="H53" i="8"/>
  <c r="J53" i="8" s="1"/>
  <c r="H52" i="8"/>
  <c r="J52" i="8" s="1"/>
  <c r="H51" i="8"/>
  <c r="J51" i="8" s="1"/>
  <c r="H50" i="8"/>
  <c r="J50" i="8" s="1"/>
  <c r="H49" i="8"/>
  <c r="J49" i="8" s="1"/>
  <c r="H48" i="8"/>
  <c r="J48" i="8" s="1"/>
  <c r="H47" i="8"/>
  <c r="J47" i="8" s="1"/>
  <c r="H46" i="8"/>
  <c r="J46" i="8" s="1"/>
  <c r="H45" i="8"/>
  <c r="J45" i="8" s="1"/>
  <c r="H44" i="8"/>
  <c r="J44" i="8" s="1"/>
  <c r="H43" i="8"/>
  <c r="J43" i="8" s="1"/>
  <c r="H42" i="8"/>
  <c r="J42" i="8" s="1"/>
  <c r="H41" i="8"/>
  <c r="J41" i="8" s="1"/>
  <c r="H40" i="8"/>
  <c r="J40" i="8" s="1"/>
  <c r="H39" i="8"/>
  <c r="J39" i="8" s="1"/>
  <c r="H38" i="8"/>
  <c r="J38" i="8" s="1"/>
  <c r="H37" i="8"/>
  <c r="J37" i="8" s="1"/>
  <c r="H36" i="8"/>
  <c r="J36" i="8" s="1"/>
  <c r="K1" i="8" l="1"/>
  <c r="K2" i="8"/>
  <c r="F13" i="9"/>
  <c r="D13" i="9" s="1"/>
  <c r="K3" i="8"/>
  <c r="K119" i="8" l="1"/>
  <c r="M119" i="8" s="1"/>
  <c r="K103" i="8"/>
  <c r="M103" i="8" s="1"/>
  <c r="K81" i="8"/>
  <c r="K112" i="8"/>
  <c r="M112" i="8" s="1"/>
  <c r="K74" i="8"/>
  <c r="K114" i="8"/>
  <c r="M114" i="8" s="1"/>
  <c r="K98" i="8"/>
  <c r="K76" i="8"/>
  <c r="K105" i="8"/>
  <c r="M105" i="8" s="1"/>
  <c r="K83" i="8"/>
  <c r="K67" i="8"/>
  <c r="K82" i="8"/>
  <c r="K78" i="8"/>
  <c r="K86" i="8"/>
  <c r="K102" i="8"/>
  <c r="M102" i="8" s="1"/>
  <c r="K109" i="8"/>
  <c r="M109" i="8" s="1"/>
  <c r="K96" i="8"/>
  <c r="K115" i="8"/>
  <c r="M115" i="8" s="1"/>
  <c r="K99" i="8"/>
  <c r="K77" i="8"/>
  <c r="K104" i="8"/>
  <c r="M104" i="8" s="1"/>
  <c r="K66" i="8"/>
  <c r="K110" i="8"/>
  <c r="M110" i="8" s="1"/>
  <c r="K88" i="8"/>
  <c r="K72" i="8"/>
  <c r="K117" i="8"/>
  <c r="M117" i="8" s="1"/>
  <c r="K101" i="8"/>
  <c r="M101" i="8" s="1"/>
  <c r="K79" i="8"/>
  <c r="K116" i="8"/>
  <c r="M116" i="8" s="1"/>
  <c r="K118" i="8"/>
  <c r="M118" i="8" s="1"/>
  <c r="K71" i="8"/>
  <c r="K111" i="8"/>
  <c r="M111" i="8" s="1"/>
  <c r="K89" i="8"/>
  <c r="K73" i="8"/>
  <c r="K100" i="8"/>
  <c r="K106" i="8"/>
  <c r="M106" i="8" s="1"/>
  <c r="K84" i="8"/>
  <c r="K68" i="8"/>
  <c r="K113" i="8"/>
  <c r="M113" i="8" s="1"/>
  <c r="K97" i="8"/>
  <c r="K75" i="8"/>
  <c r="K108" i="8"/>
  <c r="M108" i="8" s="1"/>
  <c r="K70" i="8"/>
  <c r="K107" i="8"/>
  <c r="M107" i="8" s="1"/>
  <c r="K85" i="8"/>
  <c r="K69" i="8"/>
  <c r="K80" i="8"/>
  <c r="K87" i="8"/>
  <c r="F15" i="9"/>
  <c r="D16" i="9" s="1"/>
  <c r="D15" i="9" l="1"/>
  <c r="E15" i="9"/>
  <c r="U110" i="8"/>
  <c r="S110" i="8"/>
  <c r="U107" i="8"/>
  <c r="S107" i="8"/>
  <c r="U108" i="8"/>
  <c r="S108" i="8"/>
  <c r="P100" i="8"/>
  <c r="U114" i="8"/>
  <c r="P102" i="8"/>
  <c r="S114" i="8"/>
  <c r="S112" i="8"/>
  <c r="U112" i="8"/>
  <c r="U117" i="8"/>
  <c r="S117" i="8"/>
  <c r="P103" i="8"/>
  <c r="U111" i="8"/>
  <c r="P101" i="8"/>
  <c r="S111" i="8"/>
  <c r="U104" i="8"/>
  <c r="S104" i="8"/>
  <c r="U116" i="8"/>
  <c r="S116" i="8"/>
  <c r="P98" i="8"/>
  <c r="U102" i="8"/>
  <c r="S102" i="8"/>
  <c r="S118" i="8"/>
  <c r="U118" i="8"/>
  <c r="U115" i="8"/>
  <c r="S115" i="8"/>
  <c r="U109" i="8"/>
  <c r="S109" i="8"/>
  <c r="U113" i="8"/>
  <c r="S113" i="8"/>
  <c r="U101" i="8"/>
  <c r="S101" i="8"/>
  <c r="M100" i="8"/>
  <c r="U106" i="8"/>
  <c r="S106" i="8"/>
  <c r="P99" i="8"/>
  <c r="U105" i="8"/>
  <c r="S105" i="8"/>
  <c r="U103" i="8"/>
  <c r="S103" i="8"/>
  <c r="S119" i="8"/>
  <c r="U119" i="8"/>
  <c r="M77" i="8"/>
  <c r="M71" i="8"/>
  <c r="M87" i="8"/>
  <c r="M72" i="8"/>
  <c r="M88" i="8"/>
  <c r="M86" i="8"/>
  <c r="M81" i="8"/>
  <c r="M83" i="8"/>
  <c r="M82" i="8"/>
  <c r="M76" i="8"/>
  <c r="M85" i="8"/>
  <c r="M84" i="8"/>
  <c r="M75" i="8"/>
  <c r="M79" i="8"/>
  <c r="M78" i="8"/>
  <c r="M80" i="8"/>
  <c r="M74" i="8"/>
  <c r="M73" i="8"/>
  <c r="M89" i="8"/>
  <c r="H29" i="8"/>
  <c r="J29" i="8" s="1"/>
  <c r="H28" i="8"/>
  <c r="J28" i="8" s="1"/>
  <c r="H27" i="8"/>
  <c r="J27" i="8" s="1"/>
  <c r="H26" i="8"/>
  <c r="J26" i="8" s="1"/>
  <c r="H25" i="8"/>
  <c r="J25" i="8" s="1"/>
  <c r="H24" i="8"/>
  <c r="J24" i="8" s="1"/>
  <c r="H23" i="8"/>
  <c r="J23" i="8" s="1"/>
  <c r="H22" i="8"/>
  <c r="J22" i="8" s="1"/>
  <c r="H21" i="8"/>
  <c r="J21" i="8" s="1"/>
  <c r="H20" i="8"/>
  <c r="J20" i="8" s="1"/>
  <c r="H19" i="8"/>
  <c r="J19" i="8" s="1"/>
  <c r="H18" i="8"/>
  <c r="J18" i="8" s="1"/>
  <c r="H17" i="8"/>
  <c r="J17" i="8" s="1"/>
  <c r="H16" i="8"/>
  <c r="J16" i="8" s="1"/>
  <c r="H15" i="8"/>
  <c r="J15" i="8" s="1"/>
  <c r="H14" i="8"/>
  <c r="J14" i="8" s="1"/>
  <c r="H13" i="8"/>
  <c r="J13" i="8" s="1"/>
  <c r="H12" i="8"/>
  <c r="J12" i="8" s="1"/>
  <c r="H11" i="8"/>
  <c r="J11" i="8" s="1"/>
  <c r="H10" i="8"/>
  <c r="J10" i="8" s="1"/>
  <c r="H9" i="8"/>
  <c r="J9" i="8" s="1"/>
  <c r="H8" i="8"/>
  <c r="J8" i="8" s="1"/>
  <c r="H7" i="8"/>
  <c r="J7" i="8" s="1"/>
  <c r="H6" i="8"/>
  <c r="J6" i="8" s="1"/>
  <c r="U100" i="8" l="1"/>
  <c r="S100" i="8"/>
  <c r="M99" i="8"/>
  <c r="U73" i="8"/>
  <c r="S73" i="8"/>
  <c r="S79" i="8"/>
  <c r="U79" i="8"/>
  <c r="P72" i="8"/>
  <c r="U84" i="8"/>
  <c r="S84" i="8"/>
  <c r="S83" i="8"/>
  <c r="U83" i="8"/>
  <c r="U86" i="8"/>
  <c r="S86" i="8"/>
  <c r="S72" i="8"/>
  <c r="P68" i="8"/>
  <c r="U72" i="8"/>
  <c r="M70" i="8"/>
  <c r="U71" i="8"/>
  <c r="S71" i="8"/>
  <c r="S80" i="8"/>
  <c r="U80" i="8"/>
  <c r="U76" i="8"/>
  <c r="S76" i="8"/>
  <c r="S89" i="8"/>
  <c r="U89" i="8"/>
  <c r="S85" i="8"/>
  <c r="U85" i="8"/>
  <c r="S81" i="8"/>
  <c r="U81" i="8"/>
  <c r="P71" i="8"/>
  <c r="S88" i="8"/>
  <c r="U88" i="8"/>
  <c r="P73" i="8"/>
  <c r="S87" i="8"/>
  <c r="U87" i="8"/>
  <c r="U77" i="8"/>
  <c r="S77" i="8"/>
  <c r="U74" i="8"/>
  <c r="S74" i="8"/>
  <c r="U78" i="8"/>
  <c r="S78" i="8"/>
  <c r="P70" i="8"/>
  <c r="S75" i="8"/>
  <c r="U75" i="8"/>
  <c r="P69" i="8"/>
  <c r="U82" i="8"/>
  <c r="S82" i="8"/>
  <c r="K4" i="8"/>
  <c r="I43" i="8" l="1"/>
  <c r="K43" i="8" s="1"/>
  <c r="E28" i="9" s="1"/>
  <c r="I36" i="8"/>
  <c r="I54" i="8"/>
  <c r="K54" i="8" s="1"/>
  <c r="E39" i="9" s="1"/>
  <c r="I23" i="8"/>
  <c r="I42" i="8"/>
  <c r="K42" i="8" s="1"/>
  <c r="E27" i="9" s="1"/>
  <c r="I39" i="8"/>
  <c r="I22" i="8"/>
  <c r="I50" i="8"/>
  <c r="K50" i="8" s="1"/>
  <c r="E35" i="9" s="1"/>
  <c r="I19" i="8"/>
  <c r="I11" i="8"/>
  <c r="I8" i="8"/>
  <c r="I53" i="8"/>
  <c r="K53" i="8" s="1"/>
  <c r="E38" i="9" s="1"/>
  <c r="I20" i="8"/>
  <c r="I45" i="8"/>
  <c r="K45" i="8" s="1"/>
  <c r="E30" i="9" s="1"/>
  <c r="I24" i="8"/>
  <c r="I56" i="8"/>
  <c r="K56" i="8" s="1"/>
  <c r="E41" i="9" s="1"/>
  <c r="I21" i="8"/>
  <c r="I38" i="8"/>
  <c r="I7" i="8"/>
  <c r="I47" i="8"/>
  <c r="K47" i="8" s="1"/>
  <c r="E32" i="9" s="1"/>
  <c r="I17" i="8"/>
  <c r="I28" i="8"/>
  <c r="I58" i="8"/>
  <c r="K58" i="8" s="1"/>
  <c r="E43" i="9" s="1"/>
  <c r="I14" i="8"/>
  <c r="I51" i="8"/>
  <c r="K51" i="8" s="1"/>
  <c r="E36" i="9" s="1"/>
  <c r="I52" i="8"/>
  <c r="K52" i="8" s="1"/>
  <c r="E37" i="9" s="1"/>
  <c r="I37" i="8"/>
  <c r="I26" i="8"/>
  <c r="I25" i="8"/>
  <c r="I6" i="8"/>
  <c r="I9" i="8"/>
  <c r="I13" i="8"/>
  <c r="I16" i="8"/>
  <c r="I27" i="8"/>
  <c r="I12" i="8"/>
  <c r="I57" i="8"/>
  <c r="K57" i="8" s="1"/>
  <c r="E42" i="9" s="1"/>
  <c r="I40" i="8"/>
  <c r="I18" i="8"/>
  <c r="I29" i="8"/>
  <c r="I10" i="8"/>
  <c r="I46" i="8"/>
  <c r="K46" i="8" s="1"/>
  <c r="E31" i="9" s="1"/>
  <c r="I15" i="8"/>
  <c r="I44" i="8"/>
  <c r="K44" i="8" s="1"/>
  <c r="E29" i="9" s="1"/>
  <c r="I49" i="8"/>
  <c r="K49" i="8" s="1"/>
  <c r="E34" i="9" s="1"/>
  <c r="I59" i="8"/>
  <c r="K59" i="8" s="1"/>
  <c r="E44" i="9" s="1"/>
  <c r="I48" i="8"/>
  <c r="K48" i="8" s="1"/>
  <c r="E33" i="9" s="1"/>
  <c r="I55" i="8"/>
  <c r="K55" i="8" s="1"/>
  <c r="E40" i="9" s="1"/>
  <c r="I41" i="8"/>
  <c r="K41" i="8" s="1"/>
  <c r="E26" i="9" s="1"/>
  <c r="U99" i="8"/>
  <c r="S99" i="8"/>
  <c r="M98" i="8"/>
  <c r="P97" i="8"/>
  <c r="M69" i="8"/>
  <c r="S70" i="8"/>
  <c r="U70" i="8"/>
  <c r="S98" i="8" l="1"/>
  <c r="M97" i="8"/>
  <c r="U98" i="8"/>
  <c r="U69" i="8"/>
  <c r="S69" i="8"/>
  <c r="P67" i="8"/>
  <c r="M68" i="8"/>
  <c r="Q46" i="8"/>
  <c r="O46" i="8"/>
  <c r="O58" i="8"/>
  <c r="Q58" i="8"/>
  <c r="Q49" i="8"/>
  <c r="O49" i="8"/>
  <c r="Q55" i="8"/>
  <c r="O55" i="8"/>
  <c r="Q42" i="8"/>
  <c r="O42" i="8"/>
  <c r="N38" i="8"/>
  <c r="K19" i="9" s="1"/>
  <c r="O52" i="8"/>
  <c r="Q52" i="8"/>
  <c r="O54" i="8"/>
  <c r="N42" i="8"/>
  <c r="O19" i="9" s="1"/>
  <c r="Q54" i="8"/>
  <c r="Q56" i="8"/>
  <c r="O56" i="8"/>
  <c r="Q43" i="8"/>
  <c r="O43" i="8"/>
  <c r="Q53" i="8"/>
  <c r="O53" i="8"/>
  <c r="Q50" i="8"/>
  <c r="O50" i="8"/>
  <c r="Q51" i="8"/>
  <c r="N41" i="8"/>
  <c r="N19" i="9" s="1"/>
  <c r="O51" i="8"/>
  <c r="O59" i="8"/>
  <c r="Q59" i="8"/>
  <c r="Q48" i="8"/>
  <c r="N40" i="8"/>
  <c r="M19" i="9" s="1"/>
  <c r="O48" i="8"/>
  <c r="Q41" i="8"/>
  <c r="K40" i="8"/>
  <c r="E25" i="9" s="1"/>
  <c r="O41" i="8"/>
  <c r="O47" i="8"/>
  <c r="Q47" i="8"/>
  <c r="Q44" i="8"/>
  <c r="O44" i="8"/>
  <c r="Q57" i="8"/>
  <c r="N43" i="8"/>
  <c r="P19" i="9" s="1"/>
  <c r="O57" i="8"/>
  <c r="N39" i="8"/>
  <c r="L19" i="9" s="1"/>
  <c r="Q45" i="8"/>
  <c r="O45" i="8"/>
  <c r="U97" i="8" l="1"/>
  <c r="M96" i="8"/>
  <c r="S97" i="8"/>
  <c r="U68" i="8"/>
  <c r="M67" i="8"/>
  <c r="S68" i="8"/>
  <c r="O40" i="8"/>
  <c r="K39" i="8"/>
  <c r="E24" i="9" s="1"/>
  <c r="Q40" i="8"/>
  <c r="U96" i="8" l="1"/>
  <c r="P96" i="8"/>
  <c r="S96" i="8"/>
  <c r="U67" i="8"/>
  <c r="M66" i="8"/>
  <c r="S67" i="8"/>
  <c r="Q39" i="8"/>
  <c r="O39" i="8"/>
  <c r="N37" i="8"/>
  <c r="J19" i="9" s="1"/>
  <c r="K38" i="8"/>
  <c r="E23" i="9" s="1"/>
  <c r="S66" i="8" l="1"/>
  <c r="P66" i="8"/>
  <c r="U66" i="8"/>
  <c r="O38" i="8"/>
  <c r="Q38" i="8"/>
  <c r="K37" i="8"/>
  <c r="E22" i="9" s="1"/>
  <c r="O37" i="8" l="1"/>
  <c r="Q37" i="8"/>
  <c r="K36" i="8"/>
  <c r="E21" i="9" s="1"/>
  <c r="Q36" i="8" l="1"/>
  <c r="O36" i="8"/>
  <c r="N36" i="8"/>
  <c r="I19" i="9" s="1"/>
  <c r="K28" i="8" l="1"/>
  <c r="D43" i="9" s="1"/>
  <c r="K25" i="8"/>
  <c r="D40" i="9" s="1"/>
  <c r="K20" i="8"/>
  <c r="D35" i="9" s="1"/>
  <c r="K17" i="8"/>
  <c r="D32" i="9" s="1"/>
  <c r="K12" i="8"/>
  <c r="D27" i="9" s="1"/>
  <c r="K26" i="8"/>
  <c r="D41" i="9" s="1"/>
  <c r="K23" i="8"/>
  <c r="D38" i="9" s="1"/>
  <c r="K18" i="8"/>
  <c r="D33" i="9" s="1"/>
  <c r="K15" i="8"/>
  <c r="D30" i="9" s="1"/>
  <c r="K11" i="8"/>
  <c r="D26" i="9" s="1"/>
  <c r="K29" i="8"/>
  <c r="D44" i="9" s="1"/>
  <c r="K24" i="8"/>
  <c r="D39" i="9" s="1"/>
  <c r="K21" i="8"/>
  <c r="D36" i="9" s="1"/>
  <c r="K16" i="8"/>
  <c r="D31" i="9" s="1"/>
  <c r="K13" i="8"/>
  <c r="D28" i="9" s="1"/>
  <c r="K27" i="8"/>
  <c r="D42" i="9" s="1"/>
  <c r="K22" i="8"/>
  <c r="D37" i="9" s="1"/>
  <c r="K19" i="8"/>
  <c r="D34" i="9" s="1"/>
  <c r="K14" i="8"/>
  <c r="D29" i="9" s="1"/>
  <c r="Q19" i="8" l="1"/>
  <c r="G34" i="9" s="1"/>
  <c r="O19" i="8"/>
  <c r="F34" i="9" s="1"/>
  <c r="O16" i="8"/>
  <c r="F31" i="9" s="1"/>
  <c r="Q16" i="8"/>
  <c r="G31" i="9" s="1"/>
  <c r="N9" i="8"/>
  <c r="L18" i="9" s="1"/>
  <c r="Q15" i="8"/>
  <c r="G30" i="9" s="1"/>
  <c r="O15" i="8"/>
  <c r="F30" i="9" s="1"/>
  <c r="O25" i="8"/>
  <c r="F40" i="9" s="1"/>
  <c r="Q25" i="8"/>
  <c r="G40" i="9" s="1"/>
  <c r="Q22" i="8"/>
  <c r="G37" i="9" s="1"/>
  <c r="O22" i="8"/>
  <c r="F37" i="9" s="1"/>
  <c r="N11" i="8"/>
  <c r="N18" i="9" s="1"/>
  <c r="O21" i="8"/>
  <c r="F36" i="9" s="1"/>
  <c r="Q21" i="8"/>
  <c r="G36" i="9" s="1"/>
  <c r="Q18" i="8"/>
  <c r="G33" i="9" s="1"/>
  <c r="O18" i="8"/>
  <c r="F33" i="9" s="1"/>
  <c r="N10" i="8"/>
  <c r="M18" i="9" s="1"/>
  <c r="Q12" i="8"/>
  <c r="G27" i="9" s="1"/>
  <c r="O12" i="8"/>
  <c r="F27" i="9" s="1"/>
  <c r="N8" i="8"/>
  <c r="K18" i="9" s="1"/>
  <c r="Q28" i="8"/>
  <c r="G43" i="9" s="1"/>
  <c r="O28" i="8"/>
  <c r="F43" i="9" s="1"/>
  <c r="O27" i="8"/>
  <c r="F42" i="9" s="1"/>
  <c r="N13" i="8"/>
  <c r="P18" i="9" s="1"/>
  <c r="Q27" i="8"/>
  <c r="G42" i="9" s="1"/>
  <c r="Q24" i="8"/>
  <c r="G39" i="9" s="1"/>
  <c r="N12" i="8"/>
  <c r="O18" i="9" s="1"/>
  <c r="O24" i="8"/>
  <c r="F39" i="9" s="1"/>
  <c r="K10" i="8"/>
  <c r="D25" i="9" s="1"/>
  <c r="O11" i="8"/>
  <c r="F26" i="9" s="1"/>
  <c r="Q11" i="8"/>
  <c r="G26" i="9" s="1"/>
  <c r="Q23" i="8"/>
  <c r="G38" i="9" s="1"/>
  <c r="O23" i="8"/>
  <c r="F38" i="9" s="1"/>
  <c r="Q17" i="8"/>
  <c r="G32" i="9" s="1"/>
  <c r="O17" i="8"/>
  <c r="F32" i="9" s="1"/>
  <c r="Q14" i="8"/>
  <c r="G29" i="9" s="1"/>
  <c r="O14" i="8"/>
  <c r="F29" i="9" s="1"/>
  <c r="Q13" i="8"/>
  <c r="G28" i="9" s="1"/>
  <c r="O13" i="8"/>
  <c r="F28" i="9" s="1"/>
  <c r="Q29" i="8"/>
  <c r="G44" i="9" s="1"/>
  <c r="O29" i="8"/>
  <c r="F44" i="9" s="1"/>
  <c r="Q26" i="8"/>
  <c r="G41" i="9" s="1"/>
  <c r="O26" i="8"/>
  <c r="F41" i="9" s="1"/>
  <c r="O20" i="8"/>
  <c r="F35" i="9" s="1"/>
  <c r="Q20" i="8"/>
  <c r="G35" i="9" s="1"/>
  <c r="Q10" i="8" l="1"/>
  <c r="G25" i="9" s="1"/>
  <c r="O10" i="8"/>
  <c r="F25" i="9" s="1"/>
  <c r="K9" i="8"/>
  <c r="D24" i="9" s="1"/>
  <c r="N7" i="8" l="1"/>
  <c r="J18" i="9" s="1"/>
  <c r="O9" i="8"/>
  <c r="F24" i="9" s="1"/>
  <c r="K8" i="8"/>
  <c r="D23" i="9" s="1"/>
  <c r="Q9" i="8"/>
  <c r="G24" i="9" s="1"/>
  <c r="K7" i="8" l="1"/>
  <c r="D22" i="9" s="1"/>
  <c r="Q8" i="8"/>
  <c r="G23" i="9" s="1"/>
  <c r="O8" i="8"/>
  <c r="F23" i="9" s="1"/>
  <c r="Q7" i="8" l="1"/>
  <c r="G22" i="9" s="1"/>
  <c r="O7" i="8"/>
  <c r="F22" i="9" s="1"/>
  <c r="K6" i="8"/>
  <c r="D21" i="9" s="1"/>
  <c r="O6" i="8" l="1"/>
  <c r="F21" i="9" s="1"/>
  <c r="Q6" i="8"/>
  <c r="G21" i="9" s="1"/>
  <c r="N6" i="8"/>
  <c r="I18" i="9" s="1"/>
</calcChain>
</file>

<file path=xl/sharedStrings.xml><?xml version="1.0" encoding="utf-8"?>
<sst xmlns="http://schemas.openxmlformats.org/spreadsheetml/2006/main" count="82" uniqueCount="45">
  <si>
    <t>P/A</t>
  </si>
  <si>
    <t>Length</t>
  </si>
  <si>
    <t>Raw Regression w/o Limits</t>
  </si>
  <si>
    <t>Width</t>
  </si>
  <si>
    <t>Height</t>
  </si>
  <si>
    <t>Frequency</t>
  </si>
  <si>
    <t>a1</t>
  </si>
  <si>
    <t>a2</t>
  </si>
  <si>
    <t>a3</t>
  </si>
  <si>
    <t>b1</t>
  </si>
  <si>
    <t>b2</t>
  </si>
  <si>
    <t>b3</t>
  </si>
  <si>
    <t>Freq</t>
  </si>
  <si>
    <t>a4</t>
  </si>
  <si>
    <t>b4</t>
  </si>
  <si>
    <t>IL = (a1*P/A^2+a2*P/A+a3) + (b1*P/A^2+b2*P/A+b3) * L</t>
  </si>
  <si>
    <t>s/m</t>
  </si>
  <si>
    <t>m+2s</t>
  </si>
  <si>
    <t>m-2s</t>
  </si>
  <si>
    <t>Min</t>
  </si>
  <si>
    <t>Max</t>
  </si>
  <si>
    <t xml:space="preserve">based on RP-1408 </t>
  </si>
  <si>
    <t xml:space="preserve"> </t>
  </si>
  <si>
    <t>IP</t>
  </si>
  <si>
    <t>CHOOSE IP / SI =&gt;</t>
  </si>
  <si>
    <t>CHOOSE RECT / ROUND =&gt;</t>
  </si>
  <si>
    <t xml:space="preserve">Duct Liner Attenuation Calculator </t>
  </si>
  <si>
    <t>Graphs and tables will populate upon parameter entry.</t>
  </si>
  <si>
    <t xml:space="preserve">  into a separate spreadsheet.</t>
  </si>
  <si>
    <t>You can copy the page to paste into another file.</t>
  </si>
  <si>
    <t>You can select just table items, for example to paste values</t>
  </si>
  <si>
    <t>You can print the page.</t>
  </si>
  <si>
    <t>Note:  dotted lines on the curve are regression 2-sigmas.</t>
  </si>
  <si>
    <r>
      <t xml:space="preserve">Use the drop-down boxes: IP/SI and ROUND/RECT </t>
    </r>
    <r>
      <rPr>
        <b/>
        <sz val="11"/>
        <color theme="0"/>
        <rFont val="Symbol"/>
        <family val="1"/>
        <charset val="2"/>
      </rPr>
      <t>®</t>
    </r>
  </si>
  <si>
    <r>
      <t xml:space="preserve">Enter length and cross-section of duct          </t>
    </r>
    <r>
      <rPr>
        <sz val="11"/>
        <color theme="0"/>
        <rFont val="Symbol"/>
        <family val="1"/>
        <charset val="2"/>
      </rPr>
      <t>®</t>
    </r>
  </si>
  <si>
    <t>Take note of the size ranges permitted for acceptable data.</t>
  </si>
  <si>
    <t>Check ASHRAE ON-LINE for Updates to this spreadsheet.</t>
  </si>
  <si>
    <r>
      <t xml:space="preserve">When you choose the </t>
    </r>
    <r>
      <rPr>
        <b/>
        <sz val="11"/>
        <color theme="0"/>
        <rFont val="Calibri"/>
        <family val="2"/>
        <scheme val="minor"/>
      </rPr>
      <t>SELECT</t>
    </r>
    <r>
      <rPr>
        <sz val="11"/>
        <color theme="0"/>
        <rFont val="Calibri"/>
        <family val="2"/>
        <scheme val="minor"/>
      </rPr>
      <t xml:space="preserve"> tab (below), you can:</t>
    </r>
  </si>
  <si>
    <t>RECT</t>
  </si>
  <si>
    <t>Click to ASHRAE ONLINE for updates</t>
  </si>
  <si>
    <t>Rectangular Duct 1/3-Octave Band Insertion Loss</t>
  </si>
  <si>
    <t>Frequency (Hz)</t>
  </si>
  <si>
    <t>Freq. (Hz)</t>
  </si>
  <si>
    <t/>
  </si>
  <si>
    <t>Rev1 Apr 16,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</si>
</sst>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"/>
    <numFmt numFmtId="165" formatCode="0.0"/>
  </numFmts>
  <fonts count="3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0"/>
      <color theme="1"/>
      <name val="Tahoma"/>
      <family val="2"/>
    </font>
    <font>
      <sz val="10"/>
      <color theme="1"/>
      <name val="Tahoma"/>
      <family val="2"/>
    </font>
    <font>
      <sz val="11"/>
      <name val="Calibri"/>
      <family val="2"/>
      <scheme val="minor"/>
    </font>
    <font>
      <sz val="10"/>
      <color theme="1"/>
      <name val="Times New Roman"/>
      <family val="1"/>
    </font>
    <font>
      <b/>
      <sz val="11"/>
      <name val="Calibri"/>
      <family val="2"/>
      <scheme val="minor"/>
    </font>
    <font>
      <sz val="11"/>
      <color theme="1"/>
      <name val="Symbol"/>
      <family val="1"/>
      <charset val="2"/>
    </font>
    <font>
      <sz val="11"/>
      <name val="Symbol"/>
      <family val="1"/>
      <charset val="2"/>
    </font>
    <font>
      <sz val="8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sz val="11"/>
      <color theme="0"/>
      <name val="Arial"/>
      <family val="2"/>
    </font>
    <font>
      <b/>
      <sz val="12"/>
      <color rgb="FFFF000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sz val="11"/>
      <color rgb="FF0070C0"/>
      <name val="Calibri"/>
      <family val="2"/>
      <scheme val="minor"/>
    </font>
    <font>
      <b/>
      <sz val="11"/>
      <color theme="1"/>
      <name val="Symbol"/>
      <family val="1"/>
      <charset val="2"/>
    </font>
    <font>
      <sz val="11"/>
      <color theme="0"/>
      <name val="Symbol"/>
      <family val="1"/>
      <charset val="2"/>
    </font>
    <font>
      <b/>
      <sz val="11"/>
      <color theme="0"/>
      <name val="Symbol"/>
      <family val="1"/>
      <charset val="2"/>
    </font>
    <font>
      <b/>
      <sz val="11"/>
      <color rgb="FFFFFF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1F497D"/>
      <name val="Calibri"/>
      <family val="2"/>
      <scheme val="minor"/>
    </font>
    <font>
      <sz val="8"/>
      <color rgb="FFFF0000"/>
      <name val="Calibri"/>
      <family val="2"/>
      <scheme val="minor"/>
    </font>
    <font>
      <b/>
      <sz val="8"/>
      <color rgb="FFFF0000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u/>
      <sz val="11"/>
      <color theme="10"/>
      <name val="Calibri"/>
      <family val="2"/>
      <scheme val="minor"/>
    </font>
    <font>
      <b/>
      <sz val="12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sz val="10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ck">
        <color rgb="FFFF0000"/>
      </right>
      <top/>
      <bottom/>
      <diagonal/>
    </border>
    <border>
      <left style="thick">
        <color rgb="FFFF0000"/>
      </left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 style="thick">
        <color rgb="FFFF0000"/>
      </right>
      <top/>
      <bottom/>
      <diagonal/>
    </border>
    <border>
      <left style="thick">
        <color rgb="FFFF0000"/>
      </left>
      <right style="thick">
        <color rgb="FFFF0000"/>
      </right>
      <top/>
      <bottom style="thick">
        <color rgb="FFFF0000"/>
      </bottom>
      <diagonal/>
    </border>
    <border>
      <left style="thick">
        <color rgb="FF0070C0"/>
      </left>
      <right/>
      <top style="thick">
        <color rgb="FF0070C0"/>
      </top>
      <bottom/>
      <diagonal/>
    </border>
    <border>
      <left/>
      <right/>
      <top style="thick">
        <color rgb="FF0070C0"/>
      </top>
      <bottom/>
      <diagonal/>
    </border>
    <border>
      <left/>
      <right style="thick">
        <color rgb="FF0070C0"/>
      </right>
      <top style="thick">
        <color rgb="FF0070C0"/>
      </top>
      <bottom/>
      <diagonal/>
    </border>
    <border>
      <left style="thick">
        <color rgb="FF0070C0"/>
      </left>
      <right/>
      <top/>
      <bottom/>
      <diagonal/>
    </border>
    <border>
      <left/>
      <right style="thick">
        <color rgb="FF0070C0"/>
      </right>
      <top/>
      <bottom/>
      <diagonal/>
    </border>
    <border>
      <left style="thick">
        <color rgb="FF0070C0"/>
      </left>
      <right/>
      <top/>
      <bottom style="thick">
        <color rgb="FF0070C0"/>
      </bottom>
      <diagonal/>
    </border>
    <border>
      <left/>
      <right/>
      <top/>
      <bottom style="thick">
        <color rgb="FF0070C0"/>
      </bottom>
      <diagonal/>
    </border>
    <border>
      <left/>
      <right style="thick">
        <color rgb="FF0070C0"/>
      </right>
      <top/>
      <bottom style="thick">
        <color rgb="FF0070C0"/>
      </bottom>
      <diagonal/>
    </border>
  </borders>
  <cellStyleXfs count="2">
    <xf numFmtId="0" fontId="0" fillId="0" borderId="0"/>
    <xf numFmtId="0" fontId="28" fillId="0" borderId="0" applyNumberFormat="0" applyFill="0" applyBorder="0" applyAlignment="0" applyProtection="0"/>
  </cellStyleXfs>
  <cellXfs count="110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165" fontId="0" fillId="0" borderId="0" xfId="0" applyNumberFormat="1" applyAlignment="1">
      <alignment horizontal="center"/>
    </xf>
    <xf numFmtId="164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  <xf numFmtId="0" fontId="5" fillId="0" borderId="1" xfId="0" applyFont="1" applyBorder="1" applyAlignment="1">
      <alignment horizontal="center"/>
    </xf>
    <xf numFmtId="164" fontId="6" fillId="0" borderId="0" xfId="0" applyNumberFormat="1" applyFont="1" applyAlignment="1">
      <alignment horizontal="center"/>
    </xf>
    <xf numFmtId="164" fontId="6" fillId="0" borderId="2" xfId="0" applyNumberFormat="1" applyFont="1" applyBorder="1" applyAlignment="1">
      <alignment horizontal="center"/>
    </xf>
    <xf numFmtId="1" fontId="0" fillId="0" borderId="0" xfId="0" applyNumberFormat="1" applyAlignment="1">
      <alignment horizontal="center"/>
    </xf>
    <xf numFmtId="164" fontId="6" fillId="0" borderId="3" xfId="0" applyNumberFormat="1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164" fontId="6" fillId="0" borderId="5" xfId="0" applyNumberFormat="1" applyFont="1" applyBorder="1" applyAlignment="1">
      <alignment horizontal="center"/>
    </xf>
    <xf numFmtId="164" fontId="6" fillId="0" borderId="6" xfId="0" applyNumberFormat="1" applyFont="1" applyBorder="1" applyAlignment="1">
      <alignment horizontal="center"/>
    </xf>
    <xf numFmtId="164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11" fontId="6" fillId="0" borderId="0" xfId="0" applyNumberFormat="1" applyFont="1" applyAlignment="1">
      <alignment horizontal="center"/>
    </xf>
    <xf numFmtId="11" fontId="6" fillId="0" borderId="2" xfId="0" applyNumberFormat="1" applyFont="1" applyBorder="1" applyAlignment="1">
      <alignment horizontal="center"/>
    </xf>
    <xf numFmtId="11" fontId="6" fillId="0" borderId="3" xfId="0" applyNumberFormat="1" applyFont="1" applyBorder="1" applyAlignment="1">
      <alignment horizontal="center"/>
    </xf>
    <xf numFmtId="11" fontId="6" fillId="0" borderId="5" xfId="0" applyNumberFormat="1" applyFont="1" applyBorder="1" applyAlignment="1">
      <alignment horizontal="center"/>
    </xf>
    <xf numFmtId="11" fontId="6" fillId="0" borderId="6" xfId="0" applyNumberFormat="1" applyFont="1" applyBorder="1" applyAlignment="1">
      <alignment horizontal="center"/>
    </xf>
    <xf numFmtId="0" fontId="9" fillId="0" borderId="0" xfId="0" applyFont="1" applyAlignment="1">
      <alignment horizontal="center"/>
    </xf>
    <xf numFmtId="2" fontId="0" fillId="0" borderId="0" xfId="0" applyNumberFormat="1" applyAlignment="1">
      <alignment horizontal="center"/>
    </xf>
    <xf numFmtId="164" fontId="10" fillId="0" borderId="0" xfId="0" applyNumberFormat="1" applyFont="1" applyAlignment="1">
      <alignment horizontal="center"/>
    </xf>
    <xf numFmtId="164" fontId="11" fillId="0" borderId="0" xfId="0" applyNumberFormat="1" applyFont="1" applyAlignment="1">
      <alignment horizontal="center"/>
    </xf>
    <xf numFmtId="0" fontId="0" fillId="3" borderId="0" xfId="0" applyFill="1"/>
    <xf numFmtId="0" fontId="8" fillId="3" borderId="0" xfId="0" applyFont="1" applyFill="1"/>
    <xf numFmtId="0" fontId="0" fillId="3" borderId="0" xfId="0" applyFill="1" applyAlignment="1">
      <alignment horizontal="center"/>
    </xf>
    <xf numFmtId="164" fontId="4" fillId="3" borderId="0" xfId="0" applyNumberFormat="1" applyFont="1" applyFill="1" applyAlignment="1">
      <alignment horizontal="center"/>
    </xf>
    <xf numFmtId="164" fontId="0" fillId="3" borderId="0" xfId="0" applyNumberFormat="1" applyFill="1" applyAlignment="1">
      <alignment horizontal="center"/>
    </xf>
    <xf numFmtId="1" fontId="0" fillId="3" borderId="0" xfId="0" applyNumberFormat="1" applyFill="1" applyAlignment="1">
      <alignment horizontal="center"/>
    </xf>
    <xf numFmtId="165" fontId="0" fillId="3" borderId="0" xfId="0" applyNumberFormat="1" applyFill="1" applyAlignment="1">
      <alignment horizontal="center"/>
    </xf>
    <xf numFmtId="165" fontId="2" fillId="2" borderId="0" xfId="0" applyNumberFormat="1" applyFont="1" applyFill="1" applyAlignment="1" applyProtection="1">
      <alignment horizontal="center"/>
      <protection hidden="1"/>
    </xf>
    <xf numFmtId="0" fontId="0" fillId="2" borderId="0" xfId="0" applyFill="1" applyProtection="1">
      <protection hidden="1"/>
    </xf>
    <xf numFmtId="0" fontId="0" fillId="2" borderId="0" xfId="0" applyFill="1" applyAlignment="1" applyProtection="1">
      <alignment horizontal="center"/>
      <protection hidden="1"/>
    </xf>
    <xf numFmtId="0" fontId="2" fillId="2" borderId="0" xfId="0" applyFont="1" applyFill="1" applyAlignment="1" applyProtection="1">
      <alignment horizontal="center"/>
      <protection hidden="1"/>
    </xf>
    <xf numFmtId="0" fontId="13" fillId="2" borderId="0" xfId="0" applyFont="1" applyFill="1" applyAlignment="1" applyProtection="1">
      <alignment vertical="center"/>
      <protection hidden="1"/>
    </xf>
    <xf numFmtId="0" fontId="3" fillId="2" borderId="0" xfId="0" applyFont="1" applyFill="1" applyAlignment="1" applyProtection="1">
      <alignment horizontal="center" vertical="center"/>
      <protection hidden="1"/>
    </xf>
    <xf numFmtId="0" fontId="7" fillId="2" borderId="0" xfId="0" applyFont="1" applyFill="1" applyAlignment="1" applyProtection="1">
      <alignment horizontal="center"/>
      <protection hidden="1"/>
    </xf>
    <xf numFmtId="0" fontId="8" fillId="2" borderId="0" xfId="0" applyFont="1" applyFill="1" applyProtection="1">
      <protection hidden="1"/>
    </xf>
    <xf numFmtId="164" fontId="0" fillId="2" borderId="0" xfId="0" applyNumberFormat="1" applyFill="1" applyAlignment="1" applyProtection="1">
      <alignment horizontal="center"/>
      <protection hidden="1"/>
    </xf>
    <xf numFmtId="0" fontId="3" fillId="2" borderId="0" xfId="0" applyFont="1" applyFill="1" applyAlignment="1" applyProtection="1">
      <alignment horizontal="center"/>
      <protection hidden="1"/>
    </xf>
    <xf numFmtId="165" fontId="0" fillId="2" borderId="0" xfId="0" applyNumberFormat="1" applyFill="1" applyAlignment="1" applyProtection="1">
      <alignment horizontal="left"/>
      <protection hidden="1"/>
    </xf>
    <xf numFmtId="165" fontId="0" fillId="2" borderId="0" xfId="0" applyNumberFormat="1" applyFill="1" applyAlignment="1" applyProtection="1">
      <alignment horizontal="center"/>
      <protection hidden="1"/>
    </xf>
    <xf numFmtId="0" fontId="0" fillId="2" borderId="0" xfId="0" quotePrefix="1" applyFill="1" applyAlignment="1" applyProtection="1">
      <alignment horizontal="center"/>
      <protection hidden="1"/>
    </xf>
    <xf numFmtId="164" fontId="3" fillId="2" borderId="0" xfId="0" applyNumberFormat="1" applyFont="1" applyFill="1" applyAlignment="1" applyProtection="1">
      <alignment horizontal="center"/>
      <protection hidden="1"/>
    </xf>
    <xf numFmtId="0" fontId="0" fillId="2" borderId="0" xfId="0" applyFill="1" applyAlignment="1" applyProtection="1">
      <alignment horizontal="left"/>
      <protection hidden="1"/>
    </xf>
    <xf numFmtId="0" fontId="2" fillId="2" borderId="0" xfId="0" applyFont="1" applyFill="1" applyAlignment="1" applyProtection="1">
      <alignment horizontal="left"/>
      <protection hidden="1"/>
    </xf>
    <xf numFmtId="0" fontId="9" fillId="2" borderId="0" xfId="0" applyFont="1" applyFill="1" applyAlignment="1" applyProtection="1">
      <alignment horizontal="center"/>
      <protection hidden="1"/>
    </xf>
    <xf numFmtId="164" fontId="14" fillId="2" borderId="0" xfId="0" applyNumberFormat="1" applyFont="1" applyFill="1" applyAlignment="1" applyProtection="1">
      <alignment horizontal="center"/>
      <protection hidden="1"/>
    </xf>
    <xf numFmtId="1" fontId="0" fillId="2" borderId="0" xfId="0" applyNumberFormat="1" applyFill="1" applyAlignment="1" applyProtection="1">
      <alignment horizontal="center"/>
      <protection hidden="1"/>
    </xf>
    <xf numFmtId="164" fontId="6" fillId="2" borderId="0" xfId="0" applyNumberFormat="1" applyFont="1" applyFill="1" applyAlignment="1" applyProtection="1">
      <alignment horizontal="center"/>
      <protection hidden="1"/>
    </xf>
    <xf numFmtId="0" fontId="0" fillId="2" borderId="0" xfId="0" applyFill="1"/>
    <xf numFmtId="0" fontId="0" fillId="2" borderId="0" xfId="0" applyFill="1" applyAlignment="1">
      <alignment horizontal="center"/>
    </xf>
    <xf numFmtId="0" fontId="15" fillId="4" borderId="8" xfId="0" applyFont="1" applyFill="1" applyBorder="1" applyAlignment="1" applyProtection="1">
      <alignment horizontal="center"/>
      <protection locked="0"/>
    </xf>
    <xf numFmtId="0" fontId="15" fillId="4" borderId="9" xfId="0" applyFont="1" applyFill="1" applyBorder="1" applyAlignment="1" applyProtection="1">
      <alignment horizontal="center"/>
      <protection locked="0"/>
    </xf>
    <xf numFmtId="0" fontId="15" fillId="4" borderId="9" xfId="0" applyFont="1" applyFill="1" applyBorder="1" applyAlignment="1" applyProtection="1">
      <alignment horizontal="center" vertical="center"/>
      <protection locked="0"/>
    </xf>
    <xf numFmtId="0" fontId="7" fillId="2" borderId="0" xfId="0" quotePrefix="1" applyFont="1" applyFill="1" applyAlignment="1" applyProtection="1">
      <alignment horizontal="left"/>
      <protection hidden="1"/>
    </xf>
    <xf numFmtId="0" fontId="15" fillId="4" borderId="10" xfId="0" quotePrefix="1" applyFont="1" applyFill="1" applyBorder="1" applyAlignment="1" applyProtection="1">
      <alignment horizontal="center"/>
      <protection locked="0"/>
    </xf>
    <xf numFmtId="0" fontId="3" fillId="2" borderId="0" xfId="0" quotePrefix="1" applyFont="1" applyFill="1" applyAlignment="1" applyProtection="1">
      <alignment horizontal="center"/>
      <protection hidden="1"/>
    </xf>
    <xf numFmtId="0" fontId="8" fillId="0" borderId="0" xfId="0" applyFont="1"/>
    <xf numFmtId="165" fontId="3" fillId="2" borderId="0" xfId="0" applyNumberFormat="1" applyFont="1" applyFill="1" applyAlignment="1" applyProtection="1">
      <alignment horizontal="center"/>
      <protection hidden="1"/>
    </xf>
    <xf numFmtId="0" fontId="0" fillId="2" borderId="11" xfId="0" applyFill="1" applyBorder="1" applyAlignment="1" applyProtection="1">
      <alignment horizontal="center"/>
      <protection hidden="1"/>
    </xf>
    <xf numFmtId="0" fontId="0" fillId="2" borderId="12" xfId="0" applyFill="1" applyBorder="1" applyAlignment="1" applyProtection="1">
      <alignment horizontal="center"/>
      <protection hidden="1"/>
    </xf>
    <xf numFmtId="0" fontId="2" fillId="2" borderId="12" xfId="0" applyFont="1" applyFill="1" applyBorder="1" applyAlignment="1" applyProtection="1">
      <alignment horizontal="right"/>
      <protection hidden="1"/>
    </xf>
    <xf numFmtId="0" fontId="2" fillId="2" borderId="12" xfId="0" applyFont="1" applyFill="1" applyBorder="1" applyAlignment="1" applyProtection="1">
      <alignment horizontal="left"/>
      <protection hidden="1"/>
    </xf>
    <xf numFmtId="0" fontId="0" fillId="2" borderId="12" xfId="0" applyFill="1" applyBorder="1" applyProtection="1">
      <protection hidden="1"/>
    </xf>
    <xf numFmtId="0" fontId="0" fillId="2" borderId="13" xfId="0" applyFill="1" applyBorder="1" applyProtection="1">
      <protection hidden="1"/>
    </xf>
    <xf numFmtId="0" fontId="0" fillId="2" borderId="14" xfId="0" applyFill="1" applyBorder="1" applyAlignment="1" applyProtection="1">
      <alignment horizontal="center"/>
      <protection hidden="1"/>
    </xf>
    <xf numFmtId="165" fontId="2" fillId="2" borderId="15" xfId="0" applyNumberFormat="1" applyFont="1" applyFill="1" applyBorder="1" applyAlignment="1" applyProtection="1">
      <alignment horizontal="center"/>
      <protection hidden="1"/>
    </xf>
    <xf numFmtId="0" fontId="0" fillId="2" borderId="16" xfId="0" applyFill="1" applyBorder="1" applyAlignment="1" applyProtection="1">
      <alignment horizontal="center"/>
      <protection hidden="1"/>
    </xf>
    <xf numFmtId="165" fontId="2" fillId="2" borderId="17" xfId="0" applyNumberFormat="1" applyFont="1" applyFill="1" applyBorder="1" applyAlignment="1" applyProtection="1">
      <alignment horizontal="center"/>
      <protection hidden="1"/>
    </xf>
    <xf numFmtId="165" fontId="2" fillId="2" borderId="18" xfId="0" applyNumberFormat="1" applyFont="1" applyFill="1" applyBorder="1" applyAlignment="1" applyProtection="1">
      <alignment horizontal="center"/>
      <protection hidden="1"/>
    </xf>
    <xf numFmtId="0" fontId="0" fillId="2" borderId="13" xfId="0" applyFill="1" applyBorder="1" applyAlignment="1" applyProtection="1">
      <alignment horizontal="center"/>
      <protection hidden="1"/>
    </xf>
    <xf numFmtId="0" fontId="0" fillId="2" borderId="15" xfId="0" applyFill="1" applyBorder="1" applyAlignment="1" applyProtection="1">
      <alignment horizontal="center"/>
      <protection hidden="1"/>
    </xf>
    <xf numFmtId="1" fontId="2" fillId="2" borderId="14" xfId="0" applyNumberFormat="1" applyFont="1" applyFill="1" applyBorder="1" applyAlignment="1" applyProtection="1">
      <alignment horizontal="center"/>
      <protection hidden="1"/>
    </xf>
    <xf numFmtId="1" fontId="2" fillId="2" borderId="16" xfId="0" applyNumberFormat="1" applyFont="1" applyFill="1" applyBorder="1" applyAlignment="1" applyProtection="1">
      <alignment horizontal="center"/>
      <protection hidden="1"/>
    </xf>
    <xf numFmtId="0" fontId="17" fillId="4" borderId="0" xfId="0" quotePrefix="1" applyFont="1" applyFill="1" applyAlignment="1" applyProtection="1">
      <alignment horizontal="center"/>
      <protection hidden="1"/>
    </xf>
    <xf numFmtId="0" fontId="3" fillId="3" borderId="0" xfId="0" applyFont="1" applyFill="1"/>
    <xf numFmtId="0" fontId="4" fillId="2" borderId="0" xfId="0" applyFont="1" applyFill="1" applyAlignment="1" applyProtection="1">
      <alignment horizontal="center"/>
      <protection hidden="1"/>
    </xf>
    <xf numFmtId="0" fontId="10" fillId="2" borderId="0" xfId="0" applyFont="1" applyFill="1" applyProtection="1">
      <protection hidden="1"/>
    </xf>
    <xf numFmtId="0" fontId="18" fillId="2" borderId="0" xfId="0" applyFont="1" applyFill="1" applyProtection="1">
      <protection hidden="1"/>
    </xf>
    <xf numFmtId="0" fontId="21" fillId="3" borderId="0" xfId="0" applyFont="1" applyFill="1"/>
    <xf numFmtId="0" fontId="3" fillId="2" borderId="0" xfId="0" applyFont="1" applyFill="1" applyAlignment="1" applyProtection="1">
      <alignment horizontal="right" vertical="center"/>
      <protection hidden="1"/>
    </xf>
    <xf numFmtId="0" fontId="24" fillId="2" borderId="0" xfId="0" quotePrefix="1" applyFont="1" applyFill="1" applyAlignment="1">
      <alignment horizontal="right"/>
    </xf>
    <xf numFmtId="0" fontId="23" fillId="3" borderId="0" xfId="0" applyFont="1" applyFill="1"/>
    <xf numFmtId="0" fontId="25" fillId="2" borderId="0" xfId="0" quotePrefix="1" applyFont="1" applyFill="1" applyAlignment="1" applyProtection="1">
      <alignment horizontal="center"/>
      <protection hidden="1"/>
    </xf>
    <xf numFmtId="0" fontId="26" fillId="2" borderId="0" xfId="0" applyFont="1" applyFill="1" applyAlignment="1" applyProtection="1">
      <alignment horizontal="center"/>
      <protection hidden="1"/>
    </xf>
    <xf numFmtId="0" fontId="27" fillId="2" borderId="11" xfId="0" applyFont="1" applyFill="1" applyBorder="1" applyAlignment="1" applyProtection="1">
      <alignment horizontal="left"/>
      <protection hidden="1"/>
    </xf>
    <xf numFmtId="0" fontId="0" fillId="2" borderId="15" xfId="0" applyFill="1" applyBorder="1" applyProtection="1">
      <protection hidden="1"/>
    </xf>
    <xf numFmtId="0" fontId="29" fillId="2" borderId="0" xfId="1" applyFont="1" applyFill="1" applyAlignment="1" applyProtection="1">
      <alignment horizontal="center"/>
      <protection hidden="1"/>
    </xf>
    <xf numFmtId="0" fontId="30" fillId="2" borderId="0" xfId="0" applyFont="1" applyFill="1" applyAlignment="1" applyProtection="1">
      <alignment horizontal="center"/>
      <protection hidden="1"/>
    </xf>
    <xf numFmtId="0" fontId="31" fillId="2" borderId="0" xfId="0" applyFont="1" applyFill="1" applyAlignment="1" applyProtection="1">
      <alignment horizontal="center"/>
      <protection hidden="1"/>
    </xf>
    <xf numFmtId="0" fontId="31" fillId="2" borderId="15" xfId="0" applyFont="1" applyFill="1" applyBorder="1" applyAlignment="1" applyProtection="1">
      <alignment horizontal="center"/>
      <protection hidden="1"/>
    </xf>
    <xf numFmtId="0" fontId="27" fillId="2" borderId="12" xfId="0" applyFont="1" applyFill="1" applyBorder="1" applyAlignment="1" applyProtection="1">
      <alignment horizontal="center"/>
      <protection hidden="1"/>
    </xf>
    <xf numFmtId="0" fontId="32" fillId="2" borderId="0" xfId="0" applyFont="1" applyFill="1" applyAlignment="1" applyProtection="1">
      <alignment horizontal="center"/>
      <protection hidden="1"/>
    </xf>
    <xf numFmtId="0" fontId="32" fillId="2" borderId="15" xfId="0" applyFont="1" applyFill="1" applyBorder="1" applyAlignment="1" applyProtection="1">
      <alignment horizontal="center"/>
      <protection hidden="1"/>
    </xf>
    <xf numFmtId="0" fontId="32" fillId="2" borderId="14" xfId="0" applyFont="1" applyFill="1" applyBorder="1" applyAlignment="1" applyProtection="1">
      <alignment horizontal="center"/>
      <protection hidden="1"/>
    </xf>
    <xf numFmtId="0" fontId="33" fillId="2" borderId="14" xfId="0" applyFont="1" applyFill="1" applyBorder="1" applyAlignment="1" applyProtection="1">
      <alignment horizontal="right" vertical="center"/>
      <protection hidden="1"/>
    </xf>
    <xf numFmtId="164" fontId="13" fillId="2" borderId="0" xfId="0" applyNumberFormat="1" applyFont="1" applyFill="1" applyAlignment="1" applyProtection="1">
      <alignment horizontal="center"/>
      <protection hidden="1"/>
    </xf>
    <xf numFmtId="0" fontId="1" fillId="2" borderId="0" xfId="0" applyFont="1" applyFill="1" applyAlignment="1" applyProtection="1">
      <alignment horizontal="center"/>
      <protection hidden="1"/>
    </xf>
    <xf numFmtId="0" fontId="28" fillId="5" borderId="0" xfId="1" applyFill="1" applyAlignment="1" applyProtection="1">
      <alignment horizontal="center"/>
      <protection locked="0"/>
    </xf>
    <xf numFmtId="0" fontId="16" fillId="4" borderId="0" xfId="0" applyFont="1" applyFill="1" applyAlignment="1" applyProtection="1">
      <alignment horizontal="right"/>
      <protection hidden="1"/>
    </xf>
    <xf numFmtId="0" fontId="16" fillId="4" borderId="7" xfId="0" applyFont="1" applyFill="1" applyBorder="1" applyAlignment="1" applyProtection="1">
      <alignment horizontal="right"/>
      <protection hidden="1"/>
    </xf>
    <xf numFmtId="0" fontId="16" fillId="4" borderId="0" xfId="0" applyFont="1" applyFill="1" applyAlignment="1" applyProtection="1">
      <alignment horizontal="right" vertical="center"/>
      <protection hidden="1"/>
    </xf>
    <xf numFmtId="0" fontId="16" fillId="4" borderId="7" xfId="0" applyFont="1" applyFill="1" applyBorder="1" applyAlignment="1" applyProtection="1">
      <alignment horizontal="right" vertical="center"/>
      <protection hidden="1"/>
    </xf>
    <xf numFmtId="0" fontId="12" fillId="0" borderId="0" xfId="0" applyFont="1" applyAlignment="1">
      <alignment horizontal="center" vertical="center" wrapText="1"/>
    </xf>
    <xf numFmtId="0" fontId="8" fillId="0" borderId="0" xfId="0" applyFont="1" applyAlignment="1">
      <alignment horizontal="left"/>
    </xf>
    <xf numFmtId="165" fontId="12" fillId="0" borderId="0" xfId="0" applyNumberFormat="1" applyFont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/>
            </a:pPr>
            <a:r>
              <a:rPr lang="en-US"/>
              <a:t>1/3 OCTAVE BAND INSERTION</a:t>
            </a:r>
            <a:r>
              <a:rPr lang="en-US" baseline="0"/>
              <a:t> LOSS</a:t>
            </a:r>
            <a:endParaRPr lang="en-US"/>
          </a:p>
        </c:rich>
      </c:tx>
      <c:layout>
        <c:manualLayout>
          <c:xMode val="edge"/>
          <c:yMode val="edge"/>
          <c:x val="0.29129146873169781"/>
          <c:y val="4.5279166350744809E-5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6.831184745439943E-2"/>
          <c:y val="8.7490043222209227E-2"/>
          <c:w val="0.88962716411237241"/>
          <c:h val="0.76859144563099169"/>
        </c:manualLayout>
      </c:layout>
      <c:lineChart>
        <c:grouping val="standard"/>
        <c:varyColors val="0"/>
        <c:ser>
          <c:idx val="3"/>
          <c:order val="0"/>
          <c:tx>
            <c:strRef>
              <c:f>SELECT!$G$20</c:f>
              <c:strCache>
                <c:ptCount val="1"/>
                <c:pt idx="0">
                  <c:v>Max</c:v>
                </c:pt>
              </c:strCache>
            </c:strRef>
          </c:tx>
          <c:spPr>
            <a:ln w="19050">
              <a:prstDash val="dash"/>
            </a:ln>
          </c:spPr>
          <c:marker>
            <c:symbol val="none"/>
          </c:marker>
          <c:cat>
            <c:numRef>
              <c:f>SELECT!$C$21:$C$45</c:f>
              <c:numCache>
                <c:formatCode>0</c:formatCode>
                <c:ptCount val="25"/>
                <c:pt idx="0">
                  <c:v>50</c:v>
                </c:pt>
                <c:pt idx="1">
                  <c:v>63</c:v>
                </c:pt>
                <c:pt idx="2">
                  <c:v>80</c:v>
                </c:pt>
                <c:pt idx="3">
                  <c:v>100</c:v>
                </c:pt>
                <c:pt idx="4">
                  <c:v>125</c:v>
                </c:pt>
                <c:pt idx="5">
                  <c:v>160</c:v>
                </c:pt>
                <c:pt idx="6">
                  <c:v>200</c:v>
                </c:pt>
                <c:pt idx="7">
                  <c:v>250</c:v>
                </c:pt>
                <c:pt idx="8">
                  <c:v>315</c:v>
                </c:pt>
                <c:pt idx="9">
                  <c:v>400</c:v>
                </c:pt>
                <c:pt idx="10">
                  <c:v>500</c:v>
                </c:pt>
                <c:pt idx="11">
                  <c:v>630</c:v>
                </c:pt>
                <c:pt idx="12">
                  <c:v>800</c:v>
                </c:pt>
                <c:pt idx="13">
                  <c:v>1000</c:v>
                </c:pt>
                <c:pt idx="14">
                  <c:v>1250</c:v>
                </c:pt>
                <c:pt idx="15">
                  <c:v>1600</c:v>
                </c:pt>
                <c:pt idx="16">
                  <c:v>2000</c:v>
                </c:pt>
                <c:pt idx="17">
                  <c:v>2500</c:v>
                </c:pt>
                <c:pt idx="18">
                  <c:v>3150</c:v>
                </c:pt>
                <c:pt idx="19">
                  <c:v>4000</c:v>
                </c:pt>
                <c:pt idx="20">
                  <c:v>5000</c:v>
                </c:pt>
                <c:pt idx="21">
                  <c:v>6300</c:v>
                </c:pt>
                <c:pt idx="22">
                  <c:v>8000</c:v>
                </c:pt>
                <c:pt idx="23">
                  <c:v>10000</c:v>
                </c:pt>
              </c:numCache>
            </c:numRef>
          </c:cat>
          <c:val>
            <c:numRef>
              <c:f>SELECT!$G$21:$G$45</c:f>
              <c:numCache>
                <c:formatCode>0.0</c:formatCode>
                <c:ptCount val="25"/>
                <c:pt idx="0">
                  <c:v>7.3927801637686219</c:v>
                </c:pt>
                <c:pt idx="1">
                  <c:v>7.2640892959934558</c:v>
                </c:pt>
                <c:pt idx="2">
                  <c:v>0.6589925041782585</c:v>
                </c:pt>
                <c:pt idx="3">
                  <c:v>6.7504409080506091</c:v>
                </c:pt>
                <c:pt idx="4">
                  <c:v>5.5386576884854746</c:v>
                </c:pt>
                <c:pt idx="5">
                  <c:v>6.7111255669150731</c:v>
                </c:pt>
                <c:pt idx="6">
                  <c:v>12.695778632047329</c:v>
                </c:pt>
                <c:pt idx="7">
                  <c:v>18.92360594582976</c:v>
                </c:pt>
                <c:pt idx="8">
                  <c:v>27.362361392217124</c:v>
                </c:pt>
                <c:pt idx="9">
                  <c:v>35.335668990009282</c:v>
                </c:pt>
                <c:pt idx="10">
                  <c:v>45.812003966840834</c:v>
                </c:pt>
                <c:pt idx="11">
                  <c:v>46.370928299988648</c:v>
                </c:pt>
                <c:pt idx="12">
                  <c:v>46.019662210050981</c:v>
                </c:pt>
                <c:pt idx="13">
                  <c:v>33.232953804485689</c:v>
                </c:pt>
                <c:pt idx="14">
                  <c:v>29.626873820090445</c:v>
                </c:pt>
                <c:pt idx="15">
                  <c:v>20.166851619169702</c:v>
                </c:pt>
                <c:pt idx="16">
                  <c:v>15.545691985238474</c:v>
                </c:pt>
                <c:pt idx="17">
                  <c:v>13.673588026015379</c:v>
                </c:pt>
                <c:pt idx="18">
                  <c:v>13.890500872281294</c:v>
                </c:pt>
                <c:pt idx="19">
                  <c:v>13.926885419055136</c:v>
                </c:pt>
                <c:pt idx="20">
                  <c:v>14.008042655430678</c:v>
                </c:pt>
                <c:pt idx="21">
                  <c:v>18.204347762594573</c:v>
                </c:pt>
                <c:pt idx="22">
                  <c:v>15.040908724816127</c:v>
                </c:pt>
                <c:pt idx="23">
                  <c:v>14.626104210056383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0B5-4759-B696-0A18A150E2FA}"/>
            </c:ext>
          </c:extLst>
        </c:ser>
        <c:ser>
          <c:idx val="0"/>
          <c:order val="1"/>
          <c:tx>
            <c:strRef>
              <c:f>SELECT!$E$20</c:f>
              <c:strCache>
                <c:ptCount val="1"/>
                <c:pt idx="0">
                  <c:v>2'' Liner</c:v>
                </c:pt>
              </c:strCache>
            </c:strRef>
          </c:tx>
          <c:spPr>
            <a:ln w="28575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SELECT!$C$21:$C$45</c:f>
              <c:numCache>
                <c:formatCode>0</c:formatCode>
                <c:ptCount val="25"/>
                <c:pt idx="0">
                  <c:v>50</c:v>
                </c:pt>
                <c:pt idx="1">
                  <c:v>63</c:v>
                </c:pt>
                <c:pt idx="2">
                  <c:v>80</c:v>
                </c:pt>
                <c:pt idx="3">
                  <c:v>100</c:v>
                </c:pt>
                <c:pt idx="4">
                  <c:v>125</c:v>
                </c:pt>
                <c:pt idx="5">
                  <c:v>160</c:v>
                </c:pt>
                <c:pt idx="6">
                  <c:v>200</c:v>
                </c:pt>
                <c:pt idx="7">
                  <c:v>250</c:v>
                </c:pt>
                <c:pt idx="8">
                  <c:v>315</c:v>
                </c:pt>
                <c:pt idx="9">
                  <c:v>400</c:v>
                </c:pt>
                <c:pt idx="10">
                  <c:v>500</c:v>
                </c:pt>
                <c:pt idx="11">
                  <c:v>630</c:v>
                </c:pt>
                <c:pt idx="12">
                  <c:v>800</c:v>
                </c:pt>
                <c:pt idx="13">
                  <c:v>1000</c:v>
                </c:pt>
                <c:pt idx="14">
                  <c:v>1250</c:v>
                </c:pt>
                <c:pt idx="15">
                  <c:v>1600</c:v>
                </c:pt>
                <c:pt idx="16">
                  <c:v>2000</c:v>
                </c:pt>
                <c:pt idx="17">
                  <c:v>2500</c:v>
                </c:pt>
                <c:pt idx="18">
                  <c:v>3150</c:v>
                </c:pt>
                <c:pt idx="19">
                  <c:v>4000</c:v>
                </c:pt>
                <c:pt idx="20">
                  <c:v>5000</c:v>
                </c:pt>
                <c:pt idx="21">
                  <c:v>6300</c:v>
                </c:pt>
                <c:pt idx="22">
                  <c:v>8000</c:v>
                </c:pt>
                <c:pt idx="23">
                  <c:v>10000</c:v>
                </c:pt>
              </c:numCache>
            </c:numRef>
          </c:cat>
          <c:val>
            <c:numRef>
              <c:f>SELECT!$E$21:$E$45</c:f>
              <c:numCache>
                <c:formatCode>0.0</c:formatCode>
                <c:ptCount val="25"/>
                <c:pt idx="0">
                  <c:v>1.6663476044979757</c:v>
                </c:pt>
                <c:pt idx="1">
                  <c:v>0.72265350436524145</c:v>
                </c:pt>
                <c:pt idx="2">
                  <c:v>0.24391632032961408</c:v>
                </c:pt>
                <c:pt idx="3">
                  <c:v>2.1300739282520809</c:v>
                </c:pt>
                <c:pt idx="4">
                  <c:v>3.9910732864547196</c:v>
                </c:pt>
                <c:pt idx="5">
                  <c:v>4.8784910361474534</c:v>
                </c:pt>
                <c:pt idx="6">
                  <c:v>9.8163907722345112</c:v>
                </c:pt>
                <c:pt idx="7">
                  <c:v>14.509321808450697</c:v>
                </c:pt>
                <c:pt idx="8">
                  <c:v>21.71621931296287</c:v>
                </c:pt>
                <c:pt idx="9">
                  <c:v>32.178954093981694</c:v>
                </c:pt>
                <c:pt idx="10">
                  <c:v>40.735218568421416</c:v>
                </c:pt>
                <c:pt idx="11">
                  <c:v>39.274125900661318</c:v>
                </c:pt>
                <c:pt idx="12">
                  <c:v>36.5129101085492</c:v>
                </c:pt>
                <c:pt idx="13">
                  <c:v>24.368032360043188</c:v>
                </c:pt>
                <c:pt idx="14">
                  <c:v>16.447720039576708</c:v>
                </c:pt>
                <c:pt idx="15">
                  <c:v>14.080339522329741</c:v>
                </c:pt>
                <c:pt idx="16">
                  <c:v>11.574472807090036</c:v>
                </c:pt>
                <c:pt idx="17">
                  <c:v>10.142423839245826</c:v>
                </c:pt>
                <c:pt idx="18">
                  <c:v>9.8776470497016842</c:v>
                </c:pt>
                <c:pt idx="19">
                  <c:v>9.6914262953464618</c:v>
                </c:pt>
                <c:pt idx="20">
                  <c:v>9.2217289217121525</c:v>
                </c:pt>
                <c:pt idx="21">
                  <c:v>9.8608194223126802</c:v>
                </c:pt>
                <c:pt idx="22">
                  <c:v>8.9107195384649138</c:v>
                </c:pt>
                <c:pt idx="23">
                  <c:v>8.6147892979061318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0B5-4759-B696-0A18A150E2FA}"/>
            </c:ext>
          </c:extLst>
        </c:ser>
        <c:ser>
          <c:idx val="1"/>
          <c:order val="2"/>
          <c:tx>
            <c:strRef>
              <c:f>SELECT!$D$20</c:f>
              <c:strCache>
                <c:ptCount val="1"/>
                <c:pt idx="0">
                  <c:v>1'' Liner</c:v>
                </c:pt>
              </c:strCache>
            </c:strRef>
          </c:tx>
          <c:spPr>
            <a:ln w="31750">
              <a:solidFill>
                <a:srgbClr val="0070C0"/>
              </a:solidFill>
            </a:ln>
          </c:spPr>
          <c:marker>
            <c:symbol val="none"/>
          </c:marker>
          <c:cat>
            <c:numRef>
              <c:f>SELECT!$C$21:$C$45</c:f>
              <c:numCache>
                <c:formatCode>0</c:formatCode>
                <c:ptCount val="25"/>
                <c:pt idx="0">
                  <c:v>50</c:v>
                </c:pt>
                <c:pt idx="1">
                  <c:v>63</c:v>
                </c:pt>
                <c:pt idx="2">
                  <c:v>80</c:v>
                </c:pt>
                <c:pt idx="3">
                  <c:v>100</c:v>
                </c:pt>
                <c:pt idx="4">
                  <c:v>125</c:v>
                </c:pt>
                <c:pt idx="5">
                  <c:v>160</c:v>
                </c:pt>
                <c:pt idx="6">
                  <c:v>200</c:v>
                </c:pt>
                <c:pt idx="7">
                  <c:v>250</c:v>
                </c:pt>
                <c:pt idx="8">
                  <c:v>315</c:v>
                </c:pt>
                <c:pt idx="9">
                  <c:v>400</c:v>
                </c:pt>
                <c:pt idx="10">
                  <c:v>500</c:v>
                </c:pt>
                <c:pt idx="11">
                  <c:v>630</c:v>
                </c:pt>
                <c:pt idx="12">
                  <c:v>800</c:v>
                </c:pt>
                <c:pt idx="13">
                  <c:v>1000</c:v>
                </c:pt>
                <c:pt idx="14">
                  <c:v>1250</c:v>
                </c:pt>
                <c:pt idx="15">
                  <c:v>1600</c:v>
                </c:pt>
                <c:pt idx="16">
                  <c:v>2000</c:v>
                </c:pt>
                <c:pt idx="17">
                  <c:v>2500</c:v>
                </c:pt>
                <c:pt idx="18">
                  <c:v>3150</c:v>
                </c:pt>
                <c:pt idx="19">
                  <c:v>4000</c:v>
                </c:pt>
                <c:pt idx="20">
                  <c:v>5000</c:v>
                </c:pt>
                <c:pt idx="21">
                  <c:v>6300</c:v>
                </c:pt>
                <c:pt idx="22">
                  <c:v>8000</c:v>
                </c:pt>
                <c:pt idx="23">
                  <c:v>10000</c:v>
                </c:pt>
              </c:numCache>
            </c:numRef>
          </c:cat>
          <c:val>
            <c:numRef>
              <c:f>SELECT!$D$21:$D$45</c:f>
              <c:numCache>
                <c:formatCode>0.0</c:formatCode>
                <c:ptCount val="2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0.67663948422079845</c:v>
                </c:pt>
                <c:pt idx="4">
                  <c:v>1.6682336316501629</c:v>
                </c:pt>
                <c:pt idx="5">
                  <c:v>1.337356709932886</c:v>
                </c:pt>
                <c:pt idx="6">
                  <c:v>2.6881060136186674</c:v>
                </c:pt>
                <c:pt idx="7">
                  <c:v>4.4119520840142412</c:v>
                </c:pt>
                <c:pt idx="8">
                  <c:v>6.9807165117019885</c:v>
                </c:pt>
                <c:pt idx="9">
                  <c:v>12.048140173771447</c:v>
                </c:pt>
                <c:pt idx="10">
                  <c:v>19.048131940841003</c:v>
                </c:pt>
                <c:pt idx="11">
                  <c:v>28.361808651272629</c:v>
                </c:pt>
                <c:pt idx="12">
                  <c:v>32.073728143234874</c:v>
                </c:pt>
                <c:pt idx="13">
                  <c:v>28.790654133668856</c:v>
                </c:pt>
                <c:pt idx="14">
                  <c:v>24.069463739433566</c:v>
                </c:pt>
                <c:pt idx="15">
                  <c:v>16.129428976202146</c:v>
                </c:pt>
                <c:pt idx="16">
                  <c:v>12.610038719089884</c:v>
                </c:pt>
                <c:pt idx="17">
                  <c:v>10.492731366317788</c:v>
                </c:pt>
                <c:pt idx="18">
                  <c:v>9.8344166798232742</c:v>
                </c:pt>
                <c:pt idx="19">
                  <c:v>8.9426663092994882</c:v>
                </c:pt>
                <c:pt idx="20">
                  <c:v>8.1699065870784757</c:v>
                </c:pt>
                <c:pt idx="21">
                  <c:v>7.8318246495432531</c:v>
                </c:pt>
                <c:pt idx="22">
                  <c:v>7.3990092484253989</c:v>
                </c:pt>
                <c:pt idx="23">
                  <c:v>7.3374973971155208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60B5-4759-B696-0A18A150E2FA}"/>
            </c:ext>
          </c:extLst>
        </c:ser>
        <c:ser>
          <c:idx val="2"/>
          <c:order val="3"/>
          <c:tx>
            <c:strRef>
              <c:f>SELECT!$F$20</c:f>
              <c:strCache>
                <c:ptCount val="1"/>
                <c:pt idx="0">
                  <c:v>Min</c:v>
                </c:pt>
              </c:strCache>
            </c:strRef>
          </c:tx>
          <c:spPr>
            <a:ln w="31750">
              <a:solidFill>
                <a:sysClr val="windowText" lastClr="000000"/>
              </a:solidFill>
              <a:prstDash val="sysDot"/>
            </a:ln>
          </c:spPr>
          <c:marker>
            <c:symbol val="none"/>
          </c:marker>
          <c:cat>
            <c:numRef>
              <c:f>SELECT!$C$21:$C$45</c:f>
              <c:numCache>
                <c:formatCode>0</c:formatCode>
                <c:ptCount val="25"/>
                <c:pt idx="0">
                  <c:v>50</c:v>
                </c:pt>
                <c:pt idx="1">
                  <c:v>63</c:v>
                </c:pt>
                <c:pt idx="2">
                  <c:v>80</c:v>
                </c:pt>
                <c:pt idx="3">
                  <c:v>100</c:v>
                </c:pt>
                <c:pt idx="4">
                  <c:v>125</c:v>
                </c:pt>
                <c:pt idx="5">
                  <c:v>160</c:v>
                </c:pt>
                <c:pt idx="6">
                  <c:v>200</c:v>
                </c:pt>
                <c:pt idx="7">
                  <c:v>250</c:v>
                </c:pt>
                <c:pt idx="8">
                  <c:v>315</c:v>
                </c:pt>
                <c:pt idx="9">
                  <c:v>400</c:v>
                </c:pt>
                <c:pt idx="10">
                  <c:v>500</c:v>
                </c:pt>
                <c:pt idx="11">
                  <c:v>630</c:v>
                </c:pt>
                <c:pt idx="12">
                  <c:v>800</c:v>
                </c:pt>
                <c:pt idx="13">
                  <c:v>1000</c:v>
                </c:pt>
                <c:pt idx="14">
                  <c:v>1250</c:v>
                </c:pt>
                <c:pt idx="15">
                  <c:v>1600</c:v>
                </c:pt>
                <c:pt idx="16">
                  <c:v>2000</c:v>
                </c:pt>
                <c:pt idx="17">
                  <c:v>2500</c:v>
                </c:pt>
                <c:pt idx="18">
                  <c:v>3150</c:v>
                </c:pt>
                <c:pt idx="19">
                  <c:v>4000</c:v>
                </c:pt>
                <c:pt idx="20">
                  <c:v>5000</c:v>
                </c:pt>
                <c:pt idx="21">
                  <c:v>6300</c:v>
                </c:pt>
                <c:pt idx="22">
                  <c:v>8000</c:v>
                </c:pt>
                <c:pt idx="23">
                  <c:v>10000</c:v>
                </c:pt>
              </c:numCache>
            </c:numRef>
          </c:cat>
          <c:val>
            <c:numRef>
              <c:f>SELECT!$F$21:$F$45</c:f>
              <c:numCache>
                <c:formatCode>0.0</c:formatCode>
                <c:ptCount val="25"/>
                <c:pt idx="0">
                  <c:v>-4.0600849547726714</c:v>
                </c:pt>
                <c:pt idx="1">
                  <c:v>-5.8187822872629731</c:v>
                </c:pt>
                <c:pt idx="2">
                  <c:v>-0.17115986351903029</c:v>
                </c:pt>
                <c:pt idx="3">
                  <c:v>-5.3971619396090125</c:v>
                </c:pt>
                <c:pt idx="4">
                  <c:v>9.1463307372921188E-2</c:v>
                </c:pt>
                <c:pt idx="5">
                  <c:v>0.96693664152245717</c:v>
                </c:pt>
                <c:pt idx="6">
                  <c:v>2.3934577232239223</c:v>
                </c:pt>
                <c:pt idx="7">
                  <c:v>4.0058338257825037</c:v>
                </c:pt>
                <c:pt idx="8">
                  <c:v>5.8727932345450418</c:v>
                </c:pt>
                <c:pt idx="9">
                  <c:v>11.023114694603795</c:v>
                </c:pt>
                <c:pt idx="10">
                  <c:v>15.747251673738507</c:v>
                </c:pt>
                <c:pt idx="11">
                  <c:v>25.687343209291814</c:v>
                </c:pt>
                <c:pt idx="12">
                  <c:v>26.98300182422707</c:v>
                </c:pt>
                <c:pt idx="13">
                  <c:v>19.02426719339865</c:v>
                </c:pt>
                <c:pt idx="14">
                  <c:v>13.089721754070801</c:v>
                </c:pt>
                <c:pt idx="15">
                  <c:v>8.8549966559956523</c:v>
                </c:pt>
                <c:pt idx="16">
                  <c:v>7.6544292200473256</c:v>
                </c:pt>
                <c:pt idx="17">
                  <c:v>6.8244006250134124</c:v>
                </c:pt>
                <c:pt idx="18">
                  <c:v>5.8647932271220746</c:v>
                </c:pt>
                <c:pt idx="19">
                  <c:v>5.4559671716377878</c:v>
                </c:pt>
                <c:pt idx="20">
                  <c:v>3.9028153019882552</c:v>
                </c:pt>
                <c:pt idx="21">
                  <c:v>1.5172910820307894</c:v>
                </c:pt>
                <c:pt idx="22">
                  <c:v>2.7805303521136997</c:v>
                </c:pt>
                <c:pt idx="23">
                  <c:v>2.60347438575588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60B5-4759-B696-0A18A150E2F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11035256"/>
        <c:axId val="211036824"/>
      </c:lineChart>
      <c:catAx>
        <c:axId val="211035256"/>
        <c:scaling>
          <c:orientation val="minMax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200"/>
                </a:pPr>
                <a:r>
                  <a:rPr lang="en-US" sz="1200"/>
                  <a:t>1/3-Octave Band Frequency (Hz)</a:t>
                </a:r>
              </a:p>
            </c:rich>
          </c:tx>
          <c:overlay val="0"/>
        </c:title>
        <c:numFmt formatCode="0" sourceLinked="0"/>
        <c:majorTickMark val="out"/>
        <c:minorTickMark val="none"/>
        <c:tickLblPos val="nextTo"/>
        <c:txPr>
          <a:bodyPr rot="-5400000" vert="horz"/>
          <a:lstStyle/>
          <a:p>
            <a:pPr>
              <a:defRPr sz="1100"/>
            </a:pPr>
            <a:endParaRPr lang="en-US"/>
          </a:p>
        </c:txPr>
        <c:crossAx val="2110368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11036824"/>
        <c:scaling>
          <c:orientation val="minMax"/>
          <c:max val="60"/>
          <c:min val="0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200"/>
                </a:pPr>
                <a:r>
                  <a:rPr lang="en-US" sz="1200"/>
                  <a:t>Insertion Loss (dB)</a:t>
                </a:r>
              </a:p>
            </c:rich>
          </c:tx>
          <c:overlay val="0"/>
        </c:title>
        <c:numFmt formatCode="0" sourceLinked="0"/>
        <c:majorTickMark val="out"/>
        <c:minorTickMark val="none"/>
        <c:tickLblPos val="nextTo"/>
        <c:txPr>
          <a:bodyPr/>
          <a:lstStyle/>
          <a:p>
            <a:pPr>
              <a:defRPr sz="1100"/>
            </a:pPr>
            <a:endParaRPr lang="en-US"/>
          </a:p>
        </c:txPr>
        <c:crossAx val="211035256"/>
        <c:crosses val="autoZero"/>
        <c:crossBetween val="between"/>
      </c:valAx>
    </c:plotArea>
    <c:legend>
      <c:legendPos val="t"/>
      <c:layout>
        <c:manualLayout>
          <c:xMode val="edge"/>
          <c:yMode val="edge"/>
          <c:x val="7.52150712565888E-2"/>
          <c:y val="0.11725104200817374"/>
          <c:w val="0.22200885013340271"/>
          <c:h val="0.18656212589957638"/>
        </c:manualLayout>
      </c:layout>
      <c:overlay val="1"/>
      <c:spPr>
        <a:solidFill>
          <a:sysClr val="window" lastClr="FFFFFF"/>
        </a:solidFill>
      </c:spPr>
      <c:txPr>
        <a:bodyPr/>
        <a:lstStyle/>
        <a:p>
          <a:pPr>
            <a:defRPr sz="1200"/>
          </a:pPr>
          <a:endParaRPr lang="en-US"/>
        </a:p>
      </c:txPr>
    </c:legend>
    <c:plotVisOnly val="1"/>
    <c:dispBlanksAs val="gap"/>
    <c:showDLblsOverMax val="0"/>
  </c:chart>
  <c:spPr>
    <a:ln>
      <a:noFill/>
    </a:ln>
  </c:spPr>
  <c:printSettings>
    <c:headerFooter/>
    <c:pageMargins b="0.75000000000000056" l="0.70000000000000051" r="0.70000000000000051" t="0.75000000000000056" header="0.30000000000000027" footer="0.30000000000000027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1400"/>
            </a:pPr>
            <a:r>
              <a:rPr lang="en-US" sz="1400"/>
              <a:t>OCTAVE</a:t>
            </a:r>
            <a:r>
              <a:rPr lang="en-US" sz="1400" baseline="0"/>
              <a:t> BAND INSERTION LOSS</a:t>
            </a:r>
            <a:endParaRPr lang="en-US" sz="1400"/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8.731446778759655E-2"/>
          <c:y val="0.12445715084506742"/>
          <c:w val="0.85489061803595356"/>
          <c:h val="0.72135362876594622"/>
        </c:manualLayout>
      </c:layout>
      <c:lineChart>
        <c:grouping val="standard"/>
        <c:varyColors val="0"/>
        <c:ser>
          <c:idx val="0"/>
          <c:order val="0"/>
          <c:tx>
            <c:strRef>
              <c:f>SELECT!$H$19</c:f>
              <c:strCache>
                <c:ptCount val="1"/>
                <c:pt idx="0">
                  <c:v>2'' liner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SELECT!$I$17:$P$17</c:f>
              <c:numCache>
                <c:formatCode>General</c:formatCode>
                <c:ptCount val="8"/>
                <c:pt idx="0">
                  <c:v>63</c:v>
                </c:pt>
                <c:pt idx="1">
                  <c:v>125</c:v>
                </c:pt>
                <c:pt idx="2">
                  <c:v>250</c:v>
                </c:pt>
                <c:pt idx="3">
                  <c:v>500</c:v>
                </c:pt>
                <c:pt idx="4">
                  <c:v>1000</c:v>
                </c:pt>
                <c:pt idx="5">
                  <c:v>2000</c:v>
                </c:pt>
                <c:pt idx="6">
                  <c:v>4000</c:v>
                </c:pt>
                <c:pt idx="7">
                  <c:v>8000</c:v>
                </c:pt>
              </c:numCache>
            </c:numRef>
          </c:cat>
          <c:val>
            <c:numRef>
              <c:f>SELECT!$I$19:$P$19</c:f>
              <c:numCache>
                <c:formatCode>0.0</c:formatCode>
                <c:ptCount val="8"/>
                <c:pt idx="0">
                  <c:v>0.83820523181241391</c:v>
                </c:pt>
                <c:pt idx="1">
                  <c:v>3.5116316476559346</c:v>
                </c:pt>
                <c:pt idx="2">
                  <c:v>13.11404325969958</c:v>
                </c:pt>
                <c:pt idx="3">
                  <c:v>35.696535317003523</c:v>
                </c:pt>
                <c:pt idx="4">
                  <c:v>20.532342879082378</c:v>
                </c:pt>
                <c:pt idx="5">
                  <c:v>11.64424120599511</c:v>
                </c:pt>
                <c:pt idx="6">
                  <c:v>9.588081403473641</c:v>
                </c:pt>
                <c:pt idx="7">
                  <c:v>9.0970292383356828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B6C-43E1-8A64-A87BE2222DB6}"/>
            </c:ext>
          </c:extLst>
        </c:ser>
        <c:ser>
          <c:idx val="1"/>
          <c:order val="1"/>
          <c:tx>
            <c:strRef>
              <c:f>SELECT!$H$18</c:f>
              <c:strCache>
                <c:ptCount val="1"/>
                <c:pt idx="0">
                  <c:v>1'' liner</c:v>
                </c:pt>
              </c:strCache>
            </c:strRef>
          </c:tx>
          <c:spPr>
            <a:ln w="25400">
              <a:solidFill>
                <a:srgbClr val="0070C0"/>
              </a:solidFill>
            </a:ln>
          </c:spPr>
          <c:marker>
            <c:symbol val="none"/>
          </c:marker>
          <c:cat>
            <c:numRef>
              <c:f>SELECT!$I$17:$P$17</c:f>
              <c:numCache>
                <c:formatCode>General</c:formatCode>
                <c:ptCount val="8"/>
                <c:pt idx="0">
                  <c:v>63</c:v>
                </c:pt>
                <c:pt idx="1">
                  <c:v>125</c:v>
                </c:pt>
                <c:pt idx="2">
                  <c:v>250</c:v>
                </c:pt>
                <c:pt idx="3">
                  <c:v>500</c:v>
                </c:pt>
                <c:pt idx="4">
                  <c:v>1000</c:v>
                </c:pt>
                <c:pt idx="5">
                  <c:v>2000</c:v>
                </c:pt>
                <c:pt idx="6">
                  <c:v>4000</c:v>
                </c:pt>
                <c:pt idx="7">
                  <c:v>8000</c:v>
                </c:pt>
              </c:numCache>
            </c:numRef>
          </c:cat>
          <c:val>
            <c:numRef>
              <c:f>SELECT!$I$18:$P$18</c:f>
              <c:numCache>
                <c:formatCode>0.0</c:formatCode>
                <c:ptCount val="8"/>
                <c:pt idx="0">
                  <c:v>0</c:v>
                </c:pt>
                <c:pt idx="1">
                  <c:v>1.2076340091650146</c:v>
                </c:pt>
                <c:pt idx="2">
                  <c:v>4.3533436004725656</c:v>
                </c:pt>
                <c:pt idx="3">
                  <c:v>15.945460195506572</c:v>
                </c:pt>
                <c:pt idx="4">
                  <c:v>27.092728931449479</c:v>
                </c:pt>
                <c:pt idx="5">
                  <c:v>12.505654110519405</c:v>
                </c:pt>
                <c:pt idx="6">
                  <c:v>8.9294793703019106</c:v>
                </c:pt>
                <c:pt idx="7">
                  <c:v>7.5172708254458618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B6C-43E1-8A64-A87BE2222DB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11037216"/>
        <c:axId val="211036432"/>
      </c:lineChart>
      <c:catAx>
        <c:axId val="211037216"/>
        <c:scaling>
          <c:orientation val="minMax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Octave Band Frequency (Hz)</a:t>
                </a:r>
              </a:p>
            </c:rich>
          </c:tx>
          <c:overlay val="0"/>
        </c:title>
        <c:numFmt formatCode="0" sourceLinked="0"/>
        <c:majorTickMark val="out"/>
        <c:minorTickMark val="none"/>
        <c:tickLblPos val="nextTo"/>
        <c:txPr>
          <a:bodyPr/>
          <a:lstStyle/>
          <a:p>
            <a:pPr>
              <a:defRPr sz="1100"/>
            </a:pPr>
            <a:endParaRPr lang="en-US"/>
          </a:p>
        </c:txPr>
        <c:crossAx val="2110364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11036432"/>
        <c:scaling>
          <c:orientation val="minMax"/>
          <c:max val="60"/>
          <c:min val="0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Insertion Loss (dB)</a:t>
                </a:r>
              </a:p>
            </c:rich>
          </c:tx>
          <c:overlay val="0"/>
        </c:title>
        <c:numFmt formatCode="0" sourceLinked="0"/>
        <c:majorTickMark val="out"/>
        <c:minorTickMark val="none"/>
        <c:tickLblPos val="nextTo"/>
        <c:txPr>
          <a:bodyPr/>
          <a:lstStyle/>
          <a:p>
            <a:pPr>
              <a:defRPr sz="1100"/>
            </a:pPr>
            <a:endParaRPr lang="en-US"/>
          </a:p>
        </c:txPr>
        <c:crossAx val="211037216"/>
        <c:crosses val="autoZero"/>
        <c:crossBetween val="between"/>
      </c:valAx>
    </c:plotArea>
    <c:legend>
      <c:legendPos val="t"/>
      <c:layout>
        <c:manualLayout>
          <c:xMode val="edge"/>
          <c:yMode val="edge"/>
          <c:x val="9.1781596015569872E-2"/>
          <c:y val="0.16178619782521386"/>
          <c:w val="0.20662538200101674"/>
          <c:h val="0.17517363319369006"/>
        </c:manualLayout>
      </c:layout>
      <c:overlay val="1"/>
      <c:spPr>
        <a:solidFill>
          <a:sysClr val="window" lastClr="FFFFFF"/>
        </a:solidFill>
      </c:spPr>
      <c:txPr>
        <a:bodyPr/>
        <a:lstStyle/>
        <a:p>
          <a:pPr>
            <a:defRPr sz="1200"/>
          </a:pPr>
          <a:endParaRPr lang="en-US"/>
        </a:p>
      </c:txPr>
    </c:legend>
    <c:plotVisOnly val="1"/>
    <c:dispBlanksAs val="gap"/>
    <c:showDLblsOverMax val="0"/>
  </c:chart>
  <c:spPr>
    <a:ln>
      <a:noFill/>
    </a:ln>
  </c:spPr>
  <c:printSettings>
    <c:headerFooter/>
    <c:pageMargins b="0.75000000000000056" l="0.70000000000000051" r="0.70000000000000051" t="0.75000000000000056" header="0.30000000000000027" footer="0.30000000000000027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184150</xdr:colOff>
      <xdr:row>0</xdr:row>
      <xdr:rowOff>0</xdr:rowOff>
    </xdr:from>
    <xdr:to>
      <xdr:col>15</xdr:col>
      <xdr:colOff>196849</xdr:colOff>
      <xdr:row>20</xdr:row>
      <xdr:rowOff>28214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41750" y="0"/>
          <a:ext cx="5499099" cy="371121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11</xdr:col>
      <xdr:colOff>247650</xdr:colOff>
      <xdr:row>9</xdr:row>
      <xdr:rowOff>133351</xdr:rowOff>
    </xdr:from>
    <xdr:ext cx="2120900" cy="5397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6953250" y="1790701"/>
          <a:ext cx="2120900" cy="539749"/>
        </a:xfrm>
        <a:prstGeom prst="rect">
          <a:avLst/>
        </a:prstGeom>
        <a:solidFill>
          <a:schemeClr val="bg1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pPr algn="ctr"/>
          <a:r>
            <a:rPr lang="en-US" sz="900">
              <a:solidFill>
                <a:srgbClr val="FF0000"/>
              </a:solidFill>
            </a:rPr>
            <a:t>Note that attenuation</a:t>
          </a:r>
          <a:r>
            <a:rPr lang="en-US" sz="900" baseline="0">
              <a:solidFill>
                <a:srgbClr val="FF0000"/>
              </a:solidFill>
            </a:rPr>
            <a:t> values are capped at 50 dB, as flanking paths, etc. limit ultimate preformance.</a:t>
          </a:r>
          <a:endParaRPr lang="en-US" sz="900">
            <a:solidFill>
              <a:srgbClr val="FF0000"/>
            </a:solidFill>
          </a:endParaRPr>
        </a:p>
      </xdr:txBody>
    </xdr:sp>
    <xdr:clientData/>
  </xdr:oneCellAnchor>
  <xdr:twoCellAnchor editAs="oneCell">
    <xdr:from>
      <xdr:col>1</xdr:col>
      <xdr:colOff>355600</xdr:colOff>
      <xdr:row>0</xdr:row>
      <xdr:rowOff>165100</xdr:rowOff>
    </xdr:from>
    <xdr:to>
      <xdr:col>4</xdr:col>
      <xdr:colOff>555371</xdr:colOff>
      <xdr:row>2</xdr:row>
      <xdr:rowOff>158705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65200" y="165100"/>
          <a:ext cx="2028571" cy="36190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88900</xdr:colOff>
      <xdr:row>19</xdr:row>
      <xdr:rowOff>88900</xdr:rowOff>
    </xdr:from>
    <xdr:to>
      <xdr:col>16</xdr:col>
      <xdr:colOff>406400</xdr:colOff>
      <xdr:row>44</xdr:row>
      <xdr:rowOff>8465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622300</xdr:colOff>
      <xdr:row>1</xdr:row>
      <xdr:rowOff>8467</xdr:rowOff>
    </xdr:from>
    <xdr:to>
      <xdr:col>15</xdr:col>
      <xdr:colOff>584200</xdr:colOff>
      <xdr:row>14</xdr:row>
      <xdr:rowOff>101600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2</xdr:col>
      <xdr:colOff>50800</xdr:colOff>
      <xdr:row>1</xdr:row>
      <xdr:rowOff>31749</xdr:rowOff>
    </xdr:from>
    <xdr:to>
      <xdr:col>3</xdr:col>
      <xdr:colOff>0</xdr:colOff>
      <xdr:row>5</xdr:row>
      <xdr:rowOff>162073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0400" y="31749"/>
          <a:ext cx="1257300" cy="892324"/>
        </a:xfrm>
        <a:prstGeom prst="rect">
          <a:avLst/>
        </a:prstGeom>
        <a:solidFill>
          <a:schemeClr val="bg1"/>
        </a:solidFill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160020</xdr:colOff>
          <xdr:row>63</xdr:row>
          <xdr:rowOff>30480</xdr:rowOff>
        </xdr:from>
        <xdr:to>
          <xdr:col>14</xdr:col>
          <xdr:colOff>182880</xdr:colOff>
          <xdr:row>64</xdr:row>
          <xdr:rowOff>106680</xdr:rowOff>
        </xdr:to>
        <xdr:sp macro="" textlink="">
          <xdr:nvSpPr>
            <xdr:cNvPr id="8193" name="Object 1" hidden="1">
              <a:extLst>
                <a:ext uri="{63B3BB69-23CF-44E3-9099-C40C66FF867C}">
                  <a14:compatExt spid="_x0000_s8193"/>
                </a:ext>
                <a:ext uri="{FF2B5EF4-FFF2-40B4-BE49-F238E27FC236}">
                  <a16:creationId xmlns:a16="http://schemas.microsoft.com/office/drawing/2014/main" id="{00000000-0008-0000-0200-000001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ashrae.org/technical-resources/ashrae-handbook/ashrae-handbook-online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s://www.ashrae.org/technical-resources/ashrae-handbook/ashrae-handbook-online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image" Target="../media/image4.emf"/><Relationship Id="rId4" Type="http://schemas.openxmlformats.org/officeDocument/2006/relationships/oleObject" Target="../embeddings/oleObject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/>
  <dimension ref="A1:S24"/>
  <sheetViews>
    <sheetView tabSelected="1" zoomScale="200" zoomScaleNormal="200" workbookViewId="0">
      <selection activeCell="A20" sqref="A20:F20"/>
    </sheetView>
  </sheetViews>
  <sheetFormatPr defaultRowHeight="14.4" x14ac:dyDescent="0.3"/>
  <sheetData>
    <row r="1" spans="1:19" x14ac:dyDescent="0.3">
      <c r="A1" s="79"/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O1" s="79"/>
      <c r="P1" s="79"/>
      <c r="Q1" s="79"/>
      <c r="R1" s="79"/>
      <c r="S1" s="79"/>
    </row>
    <row r="2" spans="1:19" x14ac:dyDescent="0.3">
      <c r="A2" s="79"/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O2" s="79"/>
      <c r="P2" s="79"/>
      <c r="Q2" s="79"/>
      <c r="R2" s="79"/>
      <c r="S2" s="79"/>
    </row>
    <row r="3" spans="1:19" x14ac:dyDescent="0.3">
      <c r="A3" s="79"/>
      <c r="B3" s="79"/>
      <c r="C3" s="79"/>
      <c r="D3" s="79"/>
      <c r="E3" s="79"/>
      <c r="F3" s="79"/>
      <c r="G3" s="79"/>
      <c r="H3" s="79"/>
      <c r="I3" s="79"/>
      <c r="J3" s="79"/>
      <c r="K3" s="79"/>
      <c r="L3" s="79"/>
      <c r="M3" s="79"/>
      <c r="N3" s="79"/>
      <c r="O3" s="79"/>
      <c r="P3" s="79"/>
      <c r="Q3" s="79"/>
      <c r="R3" s="79"/>
      <c r="S3" s="79"/>
    </row>
    <row r="4" spans="1:19" x14ac:dyDescent="0.3">
      <c r="A4" s="79"/>
      <c r="B4" s="79" t="s">
        <v>37</v>
      </c>
      <c r="C4" s="79"/>
      <c r="D4" s="79"/>
      <c r="E4" s="79"/>
      <c r="F4" s="79"/>
      <c r="G4" s="79"/>
      <c r="H4" s="79"/>
      <c r="I4" s="79"/>
      <c r="J4" s="79"/>
      <c r="K4" s="79"/>
      <c r="L4" s="79"/>
      <c r="M4" s="79"/>
      <c r="N4" s="79"/>
      <c r="O4" s="79"/>
      <c r="P4" s="79"/>
      <c r="Q4" s="79"/>
      <c r="R4" s="79"/>
      <c r="S4" s="79"/>
    </row>
    <row r="5" spans="1:19" x14ac:dyDescent="0.3">
      <c r="A5" s="79"/>
      <c r="B5" s="79" t="s">
        <v>33</v>
      </c>
      <c r="C5" s="79"/>
      <c r="D5" s="79"/>
      <c r="E5" s="79"/>
      <c r="F5" s="79"/>
      <c r="G5" s="79"/>
      <c r="H5" s="79"/>
      <c r="I5" s="79"/>
      <c r="J5" s="79"/>
      <c r="K5" s="79"/>
      <c r="L5" s="79"/>
      <c r="M5" s="79"/>
      <c r="N5" s="79"/>
      <c r="O5" s="79"/>
      <c r="P5" s="79"/>
      <c r="Q5" s="79"/>
      <c r="R5" s="79"/>
      <c r="S5" s="79"/>
    </row>
    <row r="6" spans="1:19" x14ac:dyDescent="0.3">
      <c r="A6" s="79"/>
      <c r="B6" s="79" t="s">
        <v>34</v>
      </c>
      <c r="C6" s="79"/>
      <c r="D6" s="79"/>
      <c r="E6" s="79"/>
      <c r="F6" s="79"/>
      <c r="G6" s="79"/>
      <c r="H6" s="79"/>
      <c r="I6" s="79"/>
      <c r="J6" s="79"/>
      <c r="K6" s="79"/>
      <c r="L6" s="79"/>
      <c r="M6" s="79"/>
      <c r="N6" s="79"/>
      <c r="O6" s="79"/>
      <c r="P6" s="79"/>
      <c r="Q6" s="79"/>
      <c r="R6" s="79"/>
      <c r="S6" s="79"/>
    </row>
    <row r="7" spans="1:19" x14ac:dyDescent="0.3">
      <c r="A7" s="79"/>
      <c r="B7" s="79"/>
      <c r="C7" s="79"/>
      <c r="D7" s="79"/>
      <c r="E7" s="79"/>
      <c r="F7" s="79"/>
      <c r="G7" s="79"/>
      <c r="H7" s="79"/>
      <c r="I7" s="79"/>
      <c r="J7" s="79"/>
      <c r="K7" s="79"/>
      <c r="L7" s="79"/>
      <c r="M7" s="79"/>
      <c r="N7" s="79"/>
      <c r="O7" s="79"/>
      <c r="P7" s="79"/>
      <c r="Q7" s="79"/>
      <c r="R7" s="79"/>
      <c r="S7" s="79"/>
    </row>
    <row r="8" spans="1:19" x14ac:dyDescent="0.3">
      <c r="A8" s="79" t="s">
        <v>35</v>
      </c>
      <c r="B8" s="79"/>
      <c r="C8" s="79"/>
      <c r="D8" s="79"/>
      <c r="E8" s="79"/>
      <c r="F8" s="79"/>
      <c r="G8" s="79"/>
      <c r="H8" s="79"/>
      <c r="I8" s="79"/>
      <c r="J8" s="79"/>
      <c r="K8" s="79"/>
      <c r="L8" s="79"/>
      <c r="M8" s="79"/>
      <c r="N8" s="79"/>
      <c r="O8" s="79"/>
      <c r="P8" s="79"/>
      <c r="Q8" s="79"/>
      <c r="R8" s="79"/>
      <c r="S8" s="79"/>
    </row>
    <row r="9" spans="1:19" x14ac:dyDescent="0.3">
      <c r="A9" s="79"/>
      <c r="B9" s="79"/>
      <c r="C9" s="79"/>
      <c r="D9" s="79"/>
      <c r="E9" s="79"/>
      <c r="F9" s="79"/>
      <c r="G9" s="79"/>
      <c r="H9" s="79"/>
      <c r="I9" s="79"/>
      <c r="J9" s="79"/>
      <c r="K9" s="79"/>
      <c r="L9" s="79"/>
      <c r="M9" s="79"/>
      <c r="N9" s="79"/>
      <c r="O9" s="79"/>
      <c r="P9" s="79"/>
      <c r="Q9" s="79"/>
      <c r="R9" s="79"/>
      <c r="S9" s="79"/>
    </row>
    <row r="10" spans="1:19" x14ac:dyDescent="0.3">
      <c r="A10" s="79" t="s">
        <v>27</v>
      </c>
      <c r="B10" s="79"/>
      <c r="C10" s="79"/>
      <c r="D10" s="79"/>
      <c r="E10" s="79"/>
      <c r="F10" s="79"/>
      <c r="G10" s="79"/>
      <c r="H10" s="79"/>
      <c r="I10" s="79"/>
      <c r="J10" s="79"/>
      <c r="K10" s="79"/>
      <c r="L10" s="79"/>
      <c r="M10" s="79"/>
      <c r="N10" s="79"/>
      <c r="O10" s="79"/>
      <c r="P10" s="79"/>
      <c r="Q10" s="79"/>
      <c r="R10" s="79"/>
      <c r="S10" s="79"/>
    </row>
    <row r="11" spans="1:19" x14ac:dyDescent="0.3">
      <c r="A11" s="79" t="s">
        <v>32</v>
      </c>
      <c r="B11" s="79"/>
      <c r="C11" s="79"/>
      <c r="D11" s="79"/>
      <c r="E11" s="79"/>
      <c r="F11" s="79"/>
      <c r="G11" s="79"/>
      <c r="H11" s="79"/>
      <c r="I11" s="79"/>
      <c r="J11" s="79"/>
      <c r="K11" s="79"/>
      <c r="L11" s="79"/>
      <c r="M11" s="79"/>
      <c r="N11" s="79"/>
      <c r="O11" s="79"/>
      <c r="P11" s="79"/>
      <c r="Q11" s="79"/>
      <c r="R11" s="79"/>
      <c r="S11" s="79"/>
    </row>
    <row r="12" spans="1:19" x14ac:dyDescent="0.3">
      <c r="A12" s="79"/>
      <c r="B12" s="79"/>
      <c r="C12" s="79"/>
      <c r="D12" s="79"/>
      <c r="E12" s="79"/>
      <c r="F12" s="79"/>
      <c r="G12" s="79"/>
      <c r="H12" s="79"/>
      <c r="I12" s="79"/>
      <c r="J12" s="79"/>
      <c r="K12" s="79"/>
      <c r="L12" s="79"/>
      <c r="M12" s="79"/>
      <c r="N12" s="79"/>
      <c r="O12" s="79"/>
      <c r="P12" s="79"/>
      <c r="Q12" s="79"/>
      <c r="R12" s="79"/>
      <c r="S12" s="79"/>
    </row>
    <row r="13" spans="1:19" x14ac:dyDescent="0.3">
      <c r="A13" s="79" t="s">
        <v>31</v>
      </c>
      <c r="B13" s="79"/>
      <c r="C13" s="79"/>
      <c r="D13" s="79"/>
      <c r="E13" s="79"/>
      <c r="F13" s="79"/>
      <c r="G13" s="79"/>
      <c r="H13" s="79"/>
      <c r="I13" s="79"/>
      <c r="J13" s="79"/>
      <c r="K13" s="79"/>
      <c r="L13" s="79"/>
      <c r="M13" s="79"/>
      <c r="N13" s="79"/>
      <c r="O13" s="79"/>
      <c r="P13" s="79"/>
      <c r="Q13" s="79"/>
      <c r="R13" s="79"/>
      <c r="S13" s="79"/>
    </row>
    <row r="14" spans="1:19" x14ac:dyDescent="0.3">
      <c r="A14" s="79"/>
      <c r="B14" s="79"/>
      <c r="C14" s="79"/>
      <c r="D14" s="79"/>
      <c r="E14" s="79"/>
      <c r="F14" s="79"/>
      <c r="G14" s="79"/>
      <c r="H14" s="79"/>
      <c r="I14" s="79"/>
      <c r="J14" s="79"/>
      <c r="K14" s="79"/>
      <c r="L14" s="79"/>
      <c r="M14" s="79"/>
      <c r="N14" s="79"/>
      <c r="O14" s="79"/>
      <c r="P14" s="79"/>
      <c r="Q14" s="79"/>
      <c r="R14" s="79"/>
      <c r="S14" s="79"/>
    </row>
    <row r="15" spans="1:19" x14ac:dyDescent="0.3">
      <c r="A15" s="79" t="s">
        <v>29</v>
      </c>
      <c r="B15" s="79"/>
      <c r="C15" s="79"/>
      <c r="D15" s="79"/>
      <c r="E15" s="79"/>
      <c r="F15" s="79"/>
      <c r="G15" s="79"/>
      <c r="H15" s="79"/>
      <c r="I15" s="79"/>
      <c r="J15" s="79"/>
      <c r="K15" s="79"/>
      <c r="L15" s="79"/>
      <c r="M15" s="79"/>
      <c r="N15" s="79"/>
      <c r="O15" s="79"/>
      <c r="P15" s="79"/>
      <c r="Q15" s="79"/>
      <c r="R15" s="79"/>
      <c r="S15" s="79"/>
    </row>
    <row r="16" spans="1:19" x14ac:dyDescent="0.3">
      <c r="A16" s="79"/>
      <c r="B16" s="79"/>
      <c r="C16" s="79"/>
      <c r="D16" s="79"/>
      <c r="E16" s="79"/>
      <c r="F16" s="79"/>
      <c r="G16" s="79"/>
      <c r="H16" s="79"/>
      <c r="I16" s="79"/>
      <c r="J16" s="79"/>
      <c r="K16" s="79"/>
      <c r="L16" s="79"/>
      <c r="M16" s="79"/>
      <c r="N16" s="79"/>
      <c r="O16" s="79"/>
      <c r="P16" s="79"/>
      <c r="Q16" s="79"/>
      <c r="R16" s="79"/>
      <c r="S16" s="79"/>
    </row>
    <row r="17" spans="1:19" x14ac:dyDescent="0.3">
      <c r="A17" s="79" t="s">
        <v>30</v>
      </c>
      <c r="B17" s="79"/>
      <c r="C17" s="79"/>
      <c r="D17" s="79"/>
      <c r="E17" s="79"/>
      <c r="F17" s="79"/>
      <c r="G17" s="79"/>
      <c r="H17" s="79"/>
      <c r="I17" s="79"/>
      <c r="J17" s="79"/>
      <c r="K17" s="79"/>
      <c r="L17" s="79"/>
      <c r="M17" s="79"/>
      <c r="N17" s="79"/>
      <c r="O17" s="79"/>
      <c r="P17" s="79"/>
      <c r="Q17" s="79"/>
      <c r="R17" s="79"/>
      <c r="S17" s="79"/>
    </row>
    <row r="18" spans="1:19" x14ac:dyDescent="0.3">
      <c r="A18" s="79" t="s">
        <v>28</v>
      </c>
      <c r="B18" s="79"/>
      <c r="C18" s="79"/>
      <c r="D18" s="79"/>
      <c r="E18" s="79"/>
      <c r="F18" s="79"/>
      <c r="G18" s="79"/>
      <c r="H18" s="79"/>
      <c r="I18" s="79"/>
      <c r="J18" s="79"/>
      <c r="K18" s="79"/>
      <c r="L18" s="79"/>
      <c r="M18" s="79"/>
      <c r="N18" s="79"/>
      <c r="O18" s="79"/>
      <c r="P18" s="79"/>
      <c r="Q18" s="79"/>
      <c r="R18" s="79"/>
      <c r="S18" s="79"/>
    </row>
    <row r="19" spans="1:19" x14ac:dyDescent="0.3">
      <c r="A19" s="79"/>
      <c r="B19" s="79"/>
      <c r="C19" s="79"/>
      <c r="D19" s="79"/>
      <c r="E19" s="79"/>
      <c r="F19" s="79"/>
      <c r="G19" s="79"/>
      <c r="H19" s="79"/>
      <c r="I19" s="79"/>
      <c r="J19" s="79"/>
      <c r="K19" s="79"/>
      <c r="L19" s="79"/>
      <c r="M19" s="79"/>
      <c r="N19" s="79"/>
      <c r="O19" s="79"/>
      <c r="P19" s="79"/>
      <c r="Q19" s="79"/>
      <c r="R19" s="79"/>
      <c r="S19" s="79"/>
    </row>
    <row r="20" spans="1:19" x14ac:dyDescent="0.3">
      <c r="A20" s="102" t="s">
        <v>36</v>
      </c>
      <c r="B20" s="102"/>
      <c r="C20" s="102"/>
      <c r="D20" s="102"/>
      <c r="E20" s="102"/>
      <c r="F20" s="102"/>
      <c r="G20" s="79"/>
      <c r="H20" s="79"/>
      <c r="I20" s="79"/>
      <c r="J20" s="79"/>
      <c r="K20" s="79"/>
      <c r="L20" s="79"/>
      <c r="M20" s="79"/>
      <c r="N20" s="79"/>
      <c r="O20" s="79"/>
      <c r="P20" s="79"/>
      <c r="Q20" s="79"/>
      <c r="R20" s="79"/>
      <c r="S20" s="79"/>
    </row>
    <row r="21" spans="1:19" x14ac:dyDescent="0.3">
      <c r="A21" s="83"/>
      <c r="B21" s="79"/>
      <c r="C21" s="79"/>
      <c r="D21" s="79"/>
      <c r="E21" s="79"/>
      <c r="F21" s="79"/>
      <c r="G21" s="79"/>
      <c r="H21" s="79"/>
      <c r="I21" s="79"/>
      <c r="J21" s="79"/>
      <c r="K21" s="79"/>
      <c r="L21" s="79"/>
      <c r="M21" s="79"/>
      <c r="N21" s="79"/>
      <c r="O21" s="79"/>
      <c r="P21" s="79"/>
      <c r="Q21" s="79"/>
      <c r="R21" s="79"/>
      <c r="S21" s="79"/>
    </row>
    <row r="22" spans="1:19" x14ac:dyDescent="0.3">
      <c r="A22" s="79"/>
      <c r="B22" s="79"/>
      <c r="C22" s="79"/>
      <c r="D22" s="79"/>
      <c r="E22" s="79"/>
      <c r="F22" s="79"/>
      <c r="G22" s="79"/>
      <c r="H22" s="79"/>
      <c r="I22" s="79"/>
      <c r="J22" s="79"/>
      <c r="K22" s="79"/>
      <c r="L22" s="79"/>
      <c r="M22" s="79"/>
      <c r="N22" s="79"/>
      <c r="O22" s="79"/>
      <c r="P22" s="79"/>
      <c r="Q22" s="79"/>
      <c r="R22" s="79"/>
      <c r="S22" s="79"/>
    </row>
    <row r="23" spans="1:19" x14ac:dyDescent="0.3">
      <c r="A23" s="79"/>
      <c r="B23" s="79"/>
      <c r="C23" s="79"/>
      <c r="D23" s="79"/>
      <c r="E23" s="79"/>
      <c r="F23" s="79"/>
      <c r="G23" s="79"/>
      <c r="H23" s="79"/>
      <c r="I23" s="79"/>
      <c r="J23" s="79"/>
      <c r="K23" s="79"/>
      <c r="L23" s="79"/>
      <c r="M23" s="79"/>
      <c r="N23" s="79"/>
      <c r="O23" s="79"/>
      <c r="P23" s="79"/>
      <c r="Q23" s="79"/>
      <c r="R23" s="79"/>
      <c r="S23" s="79"/>
    </row>
    <row r="24" spans="1:19" x14ac:dyDescent="0.3">
      <c r="A24" s="79"/>
      <c r="B24" s="79"/>
      <c r="C24" s="79"/>
      <c r="D24" s="79"/>
      <c r="E24" s="79"/>
      <c r="F24" s="79"/>
      <c r="G24" s="79"/>
      <c r="H24" s="79"/>
      <c r="I24" s="79"/>
      <c r="J24" s="79"/>
      <c r="K24" s="79"/>
      <c r="L24" s="79"/>
      <c r="M24" s="79"/>
      <c r="N24" s="79"/>
      <c r="O24" s="79"/>
      <c r="P24" s="79"/>
      <c r="Q24" s="79"/>
      <c r="R24" s="79"/>
      <c r="S24" s="79"/>
    </row>
  </sheetData>
  <sheetProtection algorithmName="SHA-512" hashValue="JgwDdVkmu1f7wdxMNy+U0DeQD8JHTp3rP6hbxJ7VUxqm7Wlcj1Mo1X84mAS/pw+IAVRZkT3yhShen94+3Jto9A==" saltValue="JgJtrUJToLSRAv8qkaNvJQ==" spinCount="100000" sheet="1" objects="1" scenarios="1" selectLockedCells="1"/>
  <mergeCells count="1">
    <mergeCell ref="A20:F20"/>
  </mergeCells>
  <hyperlinks>
    <hyperlink ref="A20" r:id="rId1" xr:uid="{00000000-0004-0000-0000-000000000000}"/>
  </hyperlinks>
  <pageMargins left="0.7" right="0.7" top="0.75" bottom="0.75" header="0.3" footer="0.3"/>
  <pageSetup orientation="portrait" horizontalDpi="4294967293" verticalDpi="4294967293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>
    <pageSetUpPr fitToPage="1"/>
  </sheetPr>
  <dimension ref="A1:BF87"/>
  <sheetViews>
    <sheetView topLeftCell="A4" zoomScaleNormal="100" workbookViewId="0">
      <selection activeCell="D12" sqref="D12"/>
    </sheetView>
  </sheetViews>
  <sheetFormatPr defaultRowHeight="14.4" x14ac:dyDescent="0.3"/>
  <cols>
    <col min="1" max="1" width="5.5546875" customWidth="1"/>
    <col min="2" max="2" width="13.5546875" customWidth="1"/>
    <col min="3" max="3" width="18.5546875" style="2" customWidth="1"/>
    <col min="4" max="4" width="13" style="2" bestFit="1" customWidth="1"/>
    <col min="5" max="5" width="19.88671875" style="2" bestFit="1" customWidth="1"/>
    <col min="6" max="7" width="10.109375" style="2" bestFit="1" customWidth="1"/>
    <col min="8" max="8" width="11.6640625" style="2" bestFit="1" customWidth="1"/>
    <col min="9" max="9" width="10.109375" style="2" bestFit="1" customWidth="1"/>
    <col min="10" max="10" width="9.5546875" style="2" customWidth="1"/>
    <col min="11" max="11" width="8.88671875" style="2" customWidth="1"/>
    <col min="12" max="16" width="8.88671875" customWidth="1"/>
    <col min="17" max="17" width="8.88671875" style="2" customWidth="1"/>
    <col min="18" max="18" width="8.88671875" customWidth="1"/>
  </cols>
  <sheetData>
    <row r="1" spans="1:58" x14ac:dyDescent="0.3">
      <c r="A1" s="53"/>
      <c r="B1" s="53"/>
      <c r="C1" s="54"/>
      <c r="D1" s="54"/>
      <c r="E1" s="54"/>
      <c r="F1" s="54"/>
      <c r="G1" s="54"/>
      <c r="H1" s="54"/>
      <c r="I1" s="54"/>
      <c r="J1" s="54"/>
      <c r="K1" s="54"/>
      <c r="L1" s="53"/>
      <c r="M1" s="53"/>
      <c r="N1" s="53"/>
      <c r="O1" s="53"/>
      <c r="P1" s="53"/>
      <c r="Q1" s="54"/>
      <c r="R1" s="26"/>
      <c r="S1" s="8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6"/>
      <c r="AY1" s="26"/>
      <c r="AZ1" s="26"/>
      <c r="BA1" s="26"/>
      <c r="BB1" s="26"/>
      <c r="BC1" s="26"/>
      <c r="BD1" s="26"/>
      <c r="BE1" s="26"/>
      <c r="BF1" s="26"/>
    </row>
    <row r="2" spans="1:58" x14ac:dyDescent="0.3">
      <c r="A2" s="53"/>
      <c r="B2" s="34"/>
      <c r="C2" s="35"/>
      <c r="D2" s="35"/>
      <c r="E2" s="36" t="s">
        <v>26</v>
      </c>
      <c r="F2" s="35"/>
      <c r="G2" s="35"/>
      <c r="H2" s="35"/>
      <c r="I2" s="35"/>
      <c r="J2" s="35"/>
      <c r="K2" s="36"/>
      <c r="L2" s="34"/>
      <c r="M2" s="34"/>
      <c r="N2" s="34"/>
      <c r="O2" s="34"/>
      <c r="P2" s="34"/>
      <c r="Q2" s="35"/>
      <c r="R2" s="26"/>
      <c r="S2" s="26"/>
      <c r="T2" s="26"/>
      <c r="U2" s="26"/>
      <c r="V2" s="26"/>
      <c r="W2" s="26"/>
      <c r="X2" s="26"/>
      <c r="Y2" s="26"/>
      <c r="Z2" s="26"/>
      <c r="AA2" s="26"/>
      <c r="AB2" s="26"/>
      <c r="AC2" s="26"/>
      <c r="AD2" s="26"/>
      <c r="AE2" s="26"/>
      <c r="AF2" s="26"/>
      <c r="AG2" s="26"/>
      <c r="AH2" s="26"/>
      <c r="AI2" s="26"/>
      <c r="AJ2" s="26"/>
      <c r="AK2" s="26"/>
      <c r="AL2" s="26"/>
      <c r="AM2" s="26"/>
      <c r="AN2" s="26"/>
      <c r="AO2" s="26"/>
      <c r="AP2" s="26"/>
      <c r="AQ2" s="26"/>
      <c r="AR2" s="26"/>
      <c r="AS2" s="26"/>
      <c r="AT2" s="26"/>
      <c r="AU2" s="26"/>
      <c r="AV2" s="26"/>
      <c r="AW2" s="26"/>
      <c r="AX2" s="26"/>
      <c r="AY2" s="26"/>
      <c r="AZ2" s="26"/>
      <c r="BA2" s="26"/>
      <c r="BB2" s="26"/>
      <c r="BC2" s="26"/>
      <c r="BD2" s="26"/>
      <c r="BE2" s="26"/>
      <c r="BF2" s="26"/>
    </row>
    <row r="3" spans="1:58" x14ac:dyDescent="0.3">
      <c r="A3" s="53"/>
      <c r="B3" s="34"/>
      <c r="C3" s="35"/>
      <c r="D3" s="35"/>
      <c r="E3" s="36" t="s">
        <v>21</v>
      </c>
      <c r="F3" s="35"/>
      <c r="G3" s="35"/>
      <c r="H3" s="35"/>
      <c r="I3" s="35"/>
      <c r="J3" s="35"/>
      <c r="K3" s="35"/>
      <c r="L3" s="34"/>
      <c r="M3" s="34"/>
      <c r="N3" s="34"/>
      <c r="O3" s="34"/>
      <c r="P3" s="34"/>
      <c r="Q3" s="35"/>
      <c r="R3" s="26"/>
      <c r="S3" s="8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  <c r="AT3" s="26"/>
      <c r="AU3" s="26"/>
      <c r="AV3" s="26"/>
      <c r="AW3" s="26"/>
      <c r="AX3" s="26"/>
      <c r="AY3" s="26"/>
      <c r="AZ3" s="26"/>
      <c r="BA3" s="26"/>
      <c r="BB3" s="26"/>
      <c r="BC3" s="26"/>
      <c r="BD3" s="26"/>
      <c r="BE3" s="26"/>
      <c r="BF3" s="26"/>
    </row>
    <row r="4" spans="1:58" x14ac:dyDescent="0.3">
      <c r="A4" s="53"/>
      <c r="B4" s="34"/>
      <c r="C4" s="35"/>
      <c r="D4" s="35"/>
      <c r="E4" s="80" t="s">
        <v>44</v>
      </c>
      <c r="F4" s="35"/>
      <c r="G4" s="35"/>
      <c r="H4" s="35"/>
      <c r="I4" s="35"/>
      <c r="J4" s="35"/>
      <c r="K4" s="35"/>
      <c r="L4" s="34"/>
      <c r="M4" s="34"/>
      <c r="N4" s="34"/>
      <c r="O4" s="34"/>
      <c r="P4" s="34"/>
      <c r="Q4" s="35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26"/>
      <c r="AZ4" s="26"/>
      <c r="BA4" s="26"/>
      <c r="BB4" s="26"/>
      <c r="BC4" s="26"/>
      <c r="BD4" s="26"/>
      <c r="BE4" s="26"/>
      <c r="BF4" s="26"/>
    </row>
    <row r="5" spans="1:58" x14ac:dyDescent="0.3">
      <c r="A5" s="53"/>
      <c r="B5" s="34"/>
      <c r="C5" s="35"/>
      <c r="D5" s="35"/>
      <c r="E5" s="91" t="s">
        <v>39</v>
      </c>
      <c r="F5" s="35"/>
      <c r="G5" s="35"/>
      <c r="H5" s="35"/>
      <c r="I5" s="35"/>
      <c r="J5" s="35"/>
      <c r="K5" s="35"/>
      <c r="L5" s="34"/>
      <c r="M5" s="34"/>
      <c r="N5" s="34"/>
      <c r="O5" s="34"/>
      <c r="P5" s="34"/>
      <c r="Q5" s="35"/>
      <c r="R5" s="26"/>
      <c r="S5" s="8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  <c r="AQ5" s="26"/>
      <c r="AR5" s="26"/>
      <c r="AS5" s="26"/>
      <c r="AT5" s="26"/>
      <c r="AU5" s="26"/>
      <c r="AV5" s="26"/>
      <c r="AW5" s="26"/>
      <c r="AX5" s="26"/>
      <c r="AY5" s="26"/>
      <c r="AZ5" s="26"/>
      <c r="BA5" s="26"/>
      <c r="BB5" s="26"/>
      <c r="BC5" s="26"/>
      <c r="BD5" s="26"/>
      <c r="BE5" s="26"/>
      <c r="BF5" s="26"/>
    </row>
    <row r="6" spans="1:58" x14ac:dyDescent="0.3">
      <c r="A6" s="53"/>
      <c r="B6" s="34"/>
      <c r="C6" s="35"/>
      <c r="D6" s="35"/>
      <c r="E6" s="91"/>
      <c r="F6" s="35"/>
      <c r="G6" s="35"/>
      <c r="H6" s="35"/>
      <c r="I6" s="35"/>
      <c r="J6" s="35"/>
      <c r="K6" s="35"/>
      <c r="L6" s="34"/>
      <c r="M6" s="34"/>
      <c r="N6" s="34"/>
      <c r="O6" s="34"/>
      <c r="P6" s="34"/>
      <c r="Q6" s="35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  <c r="AQ6" s="26"/>
      <c r="AR6" s="26"/>
      <c r="AS6" s="26"/>
      <c r="AT6" s="26"/>
      <c r="AU6" s="26"/>
      <c r="AV6" s="26"/>
      <c r="AW6" s="26"/>
      <c r="AX6" s="26"/>
      <c r="AY6" s="26"/>
      <c r="AZ6" s="26"/>
      <c r="BA6" s="26"/>
      <c r="BB6" s="26"/>
      <c r="BC6" s="26"/>
      <c r="BD6" s="26"/>
      <c r="BE6" s="26"/>
      <c r="BF6" s="26"/>
    </row>
    <row r="7" spans="1:58" ht="15" thickBot="1" x14ac:dyDescent="0.35">
      <c r="A7" s="53"/>
      <c r="B7" s="34"/>
      <c r="C7" s="54"/>
      <c r="D7" s="45"/>
      <c r="E7" s="35"/>
      <c r="F7" s="35"/>
      <c r="G7" s="35"/>
      <c r="H7" s="35"/>
      <c r="I7" s="35"/>
      <c r="J7" s="35"/>
      <c r="K7" s="35"/>
      <c r="L7" s="34"/>
      <c r="M7" s="34"/>
      <c r="N7" s="34"/>
      <c r="O7" s="34"/>
      <c r="P7" s="34"/>
      <c r="Q7" s="35"/>
      <c r="R7" s="26"/>
      <c r="S7" s="8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6"/>
      <c r="AQ7" s="26"/>
      <c r="AR7" s="26"/>
      <c r="AS7" s="26"/>
      <c r="AT7" s="26"/>
      <c r="AU7" s="26"/>
      <c r="AV7" s="26"/>
      <c r="AW7" s="26"/>
      <c r="AX7" s="26"/>
      <c r="AY7" s="26"/>
      <c r="AZ7" s="26"/>
      <c r="BA7" s="26"/>
      <c r="BB7" s="26"/>
      <c r="BC7" s="26"/>
      <c r="BD7" s="26"/>
      <c r="BE7" s="26"/>
      <c r="BF7" s="26"/>
    </row>
    <row r="8" spans="1:58" ht="15.9" customHeight="1" thickTop="1" x14ac:dyDescent="0.3">
      <c r="A8" s="53"/>
      <c r="B8" s="103" t="s">
        <v>24</v>
      </c>
      <c r="C8" s="104"/>
      <c r="D8" s="55" t="s">
        <v>23</v>
      </c>
      <c r="E8" s="35"/>
      <c r="F8" s="35"/>
      <c r="G8" s="35"/>
      <c r="H8" s="35"/>
      <c r="I8" s="35"/>
      <c r="J8" s="35"/>
      <c r="K8" s="35"/>
      <c r="L8" s="34"/>
      <c r="M8" s="34"/>
      <c r="N8" s="34"/>
      <c r="O8" s="34"/>
      <c r="P8" s="34"/>
      <c r="Q8" s="35"/>
      <c r="R8" s="26"/>
      <c r="S8" s="26"/>
      <c r="T8" s="26"/>
      <c r="U8" s="26"/>
      <c r="V8" s="26"/>
      <c r="W8" s="26"/>
      <c r="X8" s="26"/>
      <c r="Y8" s="26"/>
      <c r="Z8" s="26"/>
      <c r="AA8" s="26"/>
      <c r="AB8" s="26"/>
      <c r="AC8" s="26"/>
      <c r="AD8" s="26"/>
      <c r="AE8" s="26"/>
      <c r="AF8" s="26"/>
      <c r="AG8" s="26"/>
      <c r="AH8" s="26"/>
      <c r="AI8" s="26"/>
      <c r="AJ8" s="26"/>
      <c r="AK8" s="26"/>
      <c r="AL8" s="26"/>
      <c r="AM8" s="26"/>
      <c r="AN8" s="26"/>
      <c r="AO8" s="26"/>
      <c r="AP8" s="26"/>
      <c r="AQ8" s="26"/>
      <c r="AR8" s="26"/>
      <c r="AS8" s="26"/>
      <c r="AT8" s="26"/>
      <c r="AU8" s="26"/>
      <c r="AV8" s="26"/>
      <c r="AW8" s="26"/>
      <c r="AX8" s="26"/>
      <c r="AY8" s="26"/>
      <c r="AZ8" s="26"/>
      <c r="BA8" s="26"/>
      <c r="BB8" s="26"/>
      <c r="BC8" s="26"/>
      <c r="BD8" s="26"/>
      <c r="BE8" s="26"/>
      <c r="BF8" s="26"/>
    </row>
    <row r="9" spans="1:58" ht="21" x14ac:dyDescent="0.3">
      <c r="A9" s="53"/>
      <c r="B9" s="105" t="s">
        <v>25</v>
      </c>
      <c r="C9" s="106"/>
      <c r="D9" s="57" t="s">
        <v>38</v>
      </c>
      <c r="E9" s="37"/>
      <c r="F9" s="54"/>
      <c r="G9" s="35"/>
      <c r="H9" s="35"/>
      <c r="I9" s="35"/>
      <c r="J9" s="35"/>
      <c r="K9" s="35"/>
      <c r="L9" s="34"/>
      <c r="M9" s="34"/>
      <c r="N9" s="34"/>
      <c r="O9" s="34"/>
      <c r="P9" s="34"/>
      <c r="Q9" s="35"/>
      <c r="R9" s="26"/>
      <c r="S9" s="86"/>
      <c r="T9" s="26"/>
      <c r="U9" s="26"/>
      <c r="V9" s="26"/>
      <c r="W9" s="26"/>
      <c r="X9" s="26"/>
      <c r="Y9" s="26"/>
      <c r="Z9" s="26"/>
      <c r="AA9" s="26"/>
      <c r="AB9" s="26"/>
      <c r="AC9" s="26"/>
      <c r="AD9" s="26"/>
      <c r="AE9" s="26"/>
      <c r="AF9" s="26"/>
      <c r="AG9" s="26"/>
      <c r="AH9" s="26"/>
      <c r="AI9" s="26"/>
      <c r="AJ9" s="26"/>
      <c r="AK9" s="26"/>
      <c r="AL9" s="26"/>
      <c r="AM9" s="26"/>
      <c r="AN9" s="26"/>
      <c r="AO9" s="26"/>
      <c r="AP9" s="26"/>
      <c r="AQ9" s="26"/>
      <c r="AR9" s="26"/>
      <c r="AS9" s="26"/>
      <c r="AT9" s="26"/>
      <c r="AU9" s="26"/>
      <c r="AV9" s="26"/>
      <c r="AW9" s="26"/>
      <c r="AX9" s="26"/>
      <c r="AY9" s="26"/>
      <c r="AZ9" s="26"/>
      <c r="BA9" s="26"/>
      <c r="BB9" s="26"/>
      <c r="BC9" s="26"/>
      <c r="BD9" s="26"/>
      <c r="BE9" s="26"/>
      <c r="BF9" s="26"/>
    </row>
    <row r="10" spans="1:58" ht="15.6" customHeight="1" x14ac:dyDescent="0.3">
      <c r="A10" s="53"/>
      <c r="B10" s="103" t="str">
        <f>IF(D$8="IP","INPUT Length (ft) =&gt;","INPUT Length (m) =&gt;")</f>
        <v>INPUT Length (ft) =&gt;</v>
      </c>
      <c r="C10" s="104"/>
      <c r="D10" s="56">
        <v>15</v>
      </c>
      <c r="E10" s="78" t="str">
        <f>IF($D$8="IP","3 &lt;=L=&lt; 26 ft","1 &lt;=L=&lt; 8 m")</f>
        <v>3 &lt;=L=&lt; 26 ft</v>
      </c>
      <c r="F10" s="87" t="str">
        <f>IF(D10="","",IF($G$10&lt;3,"TOO SHORT",IF($G$10&gt;26.25,"TOO LONG","")))</f>
        <v/>
      </c>
      <c r="G10" s="84">
        <f>IF(D$8="IP",D10,D10*3.28)</f>
        <v>15</v>
      </c>
      <c r="H10" s="35"/>
      <c r="I10" s="35"/>
      <c r="J10" s="35"/>
      <c r="K10" s="35"/>
      <c r="L10" s="34"/>
      <c r="M10" s="34"/>
      <c r="N10" s="34"/>
      <c r="O10" s="34"/>
      <c r="P10" s="34"/>
      <c r="Q10" s="35"/>
      <c r="R10" s="26"/>
      <c r="S10" s="26"/>
      <c r="T10" s="26"/>
      <c r="U10" s="26"/>
      <c r="V10" s="26"/>
      <c r="W10" s="26"/>
      <c r="X10" s="26"/>
      <c r="Y10" s="26"/>
      <c r="Z10" s="26"/>
      <c r="AA10" s="26"/>
      <c r="AB10" s="26"/>
      <c r="AC10" s="26"/>
      <c r="AD10" s="26"/>
      <c r="AE10" s="26"/>
      <c r="AF10" s="26"/>
      <c r="AG10" s="26"/>
      <c r="AH10" s="26"/>
      <c r="AI10" s="26"/>
      <c r="AJ10" s="26"/>
      <c r="AK10" s="26"/>
      <c r="AL10" s="26"/>
      <c r="AM10" s="26"/>
      <c r="AN10" s="26"/>
      <c r="AO10" s="26"/>
      <c r="AP10" s="26"/>
      <c r="AQ10" s="26"/>
      <c r="AR10" s="26"/>
      <c r="AS10" s="26"/>
      <c r="AT10" s="26"/>
      <c r="AU10" s="26"/>
      <c r="AV10" s="26"/>
      <c r="AW10" s="26"/>
      <c r="AX10" s="26"/>
      <c r="AY10" s="26"/>
      <c r="AZ10" s="26"/>
      <c r="BA10" s="26"/>
      <c r="BB10" s="26"/>
      <c r="BC10" s="26"/>
      <c r="BD10" s="26"/>
      <c r="BE10" s="26"/>
      <c r="BF10" s="26"/>
    </row>
    <row r="11" spans="1:58" ht="15.6" customHeight="1" x14ac:dyDescent="0.3">
      <c r="A11" s="53"/>
      <c r="B11" s="105" t="str">
        <f>IF(D$8="IP",IF(D9="RECT","INPUT Width ID (in) =&gt;","INPUT Dia. ID (in) =&gt;"),IF(D9="RECT","INPUT Width ID (mm) =&gt;","INPUT Dia. ID (mm) =&gt;"))</f>
        <v>INPUT Width ID (in) =&gt;</v>
      </c>
      <c r="C11" s="106"/>
      <c r="D11" s="56">
        <v>36</v>
      </c>
      <c r="E11" s="78" t="str">
        <f>IF(D9="round",IF(D8="IP","12 &lt;=D=&lt; 48 in","305 &lt;=D=&lt; 1220 mm"),IF($D$8="IP","12 &lt;=W=&lt; 48 in","305 &lt;=W=&lt; 1220 mm"))</f>
        <v>12 &lt;=W=&lt; 48 in</v>
      </c>
      <c r="F11" s="87" t="str">
        <f>IF(D11="","",IF($G$11&lt;12,"TOO SMALL",IF($G$11&gt;48.5,"TOO LARGE","")))</f>
        <v/>
      </c>
      <c r="G11" s="38">
        <f>IF(D$8="IP",D11,D11/25.4)</f>
        <v>36</v>
      </c>
      <c r="H11" s="35"/>
      <c r="I11" s="35"/>
      <c r="J11" s="35"/>
      <c r="K11" s="35"/>
      <c r="L11" s="34"/>
      <c r="M11" s="34"/>
      <c r="N11" s="34"/>
      <c r="O11" s="40"/>
      <c r="P11" s="40"/>
      <c r="Q11" s="40"/>
      <c r="R11" s="27"/>
      <c r="S11" s="86"/>
      <c r="T11" s="27"/>
      <c r="U11" s="27"/>
      <c r="V11" s="26"/>
      <c r="W11" s="26"/>
      <c r="X11" s="26"/>
      <c r="Y11" s="26"/>
      <c r="Z11" s="26"/>
      <c r="AA11" s="26"/>
      <c r="AB11" s="26"/>
      <c r="AC11" s="26"/>
      <c r="AD11" s="26"/>
      <c r="AE11" s="26"/>
      <c r="AF11" s="26"/>
      <c r="AG11" s="26"/>
      <c r="AH11" s="26"/>
      <c r="AI11" s="26"/>
      <c r="AJ11" s="26"/>
      <c r="AK11" s="26"/>
      <c r="AL11" s="26"/>
      <c r="AM11" s="26"/>
      <c r="AN11" s="26"/>
      <c r="AO11" s="26"/>
      <c r="AP11" s="26"/>
      <c r="AQ11" s="26"/>
      <c r="AR11" s="26"/>
      <c r="AS11" s="26"/>
      <c r="AT11" s="26"/>
      <c r="AU11" s="26"/>
      <c r="AV11" s="26"/>
      <c r="AW11" s="26"/>
      <c r="AX11" s="26"/>
      <c r="AY11" s="26"/>
      <c r="AZ11" s="26"/>
      <c r="BA11" s="26"/>
      <c r="BB11" s="26"/>
      <c r="BC11" s="26"/>
      <c r="BD11" s="26"/>
      <c r="BE11" s="26"/>
      <c r="BF11" s="26"/>
    </row>
    <row r="12" spans="1:58" ht="15.9" customHeight="1" thickBot="1" x14ac:dyDescent="0.35">
      <c r="A12" s="53"/>
      <c r="B12" s="103" t="str">
        <f>IF(D$8="IP",IF(D9="RECT","INPUT Height ID (in) =&gt;",""),IF(D9="RECT","INPUT Height ID (mm) =&gt;",""))</f>
        <v>INPUT Height ID (in) =&gt;</v>
      </c>
      <c r="C12" s="104"/>
      <c r="D12" s="59">
        <v>36</v>
      </c>
      <c r="E12" s="78" t="str">
        <f>IF(D9="round","",IF(D8="IP","12 &lt;=H=&lt; 48 in","305 &lt;=H=&lt; 1220 mm"))</f>
        <v>12 &lt;=H=&lt; 48 in</v>
      </c>
      <c r="F12" s="87" t="str">
        <f>IF(D12="","",IF(D9="ROUND",IF(D12="","","NOT USED"),IF($G$12&lt;12,"TOO SMALL",IF($G$12&gt;48,"TOO HIGH",""))))</f>
        <v/>
      </c>
      <c r="G12" s="38">
        <f>IF(D$8="IP",D12,D12/25.4)</f>
        <v>36</v>
      </c>
      <c r="H12" s="41"/>
      <c r="I12" s="35"/>
      <c r="J12" s="35"/>
      <c r="K12" s="35"/>
      <c r="L12" s="34"/>
      <c r="M12" s="34"/>
      <c r="N12" s="34"/>
      <c r="O12" s="34"/>
      <c r="P12" s="34"/>
      <c r="Q12" s="35"/>
      <c r="R12" s="26"/>
      <c r="S12" s="26"/>
      <c r="T12" s="26"/>
      <c r="U12" s="26"/>
      <c r="V12" s="26"/>
      <c r="W12" s="26"/>
      <c r="X12" s="26"/>
      <c r="Y12" s="26"/>
      <c r="Z12" s="26"/>
      <c r="AA12" s="26"/>
      <c r="AB12" s="26"/>
      <c r="AC12" s="26"/>
      <c r="AD12" s="26"/>
      <c r="AE12" s="26"/>
      <c r="AF12" s="26"/>
      <c r="AG12" s="26"/>
      <c r="AH12" s="26"/>
      <c r="AI12" s="26"/>
      <c r="AJ12" s="26"/>
      <c r="AK12" s="26"/>
      <c r="AL12" s="26"/>
      <c r="AM12" s="26"/>
      <c r="AN12" s="26"/>
      <c r="AO12" s="26"/>
      <c r="AP12" s="26"/>
      <c r="AQ12" s="26"/>
      <c r="AR12" s="26"/>
      <c r="AS12" s="26"/>
      <c r="AT12" s="26"/>
      <c r="AU12" s="26"/>
      <c r="AV12" s="26"/>
      <c r="AW12" s="26"/>
      <c r="AX12" s="26"/>
      <c r="AY12" s="26"/>
      <c r="AZ12" s="26"/>
      <c r="BA12" s="26"/>
      <c r="BB12" s="26"/>
      <c r="BC12" s="26"/>
      <c r="BD12" s="26"/>
      <c r="BE12" s="26"/>
      <c r="BF12" s="26"/>
    </row>
    <row r="13" spans="1:58" ht="15" thickTop="1" x14ac:dyDescent="0.3">
      <c r="A13" s="53"/>
      <c r="B13" s="39"/>
      <c r="C13" s="42" t="str">
        <f>IF($D$9="RECT","Perimeter","")</f>
        <v>Perimeter</v>
      </c>
      <c r="D13" s="62">
        <f>IF(C13="","",IF(D9="round","",IF(D12="","",F13)))</f>
        <v>144</v>
      </c>
      <c r="E13" s="35"/>
      <c r="F13" s="42">
        <f>IF(D9="round",3.1416*G11,G11+G12+G11+G12)</f>
        <v>144</v>
      </c>
      <c r="G13" s="35"/>
      <c r="H13" s="35"/>
      <c r="I13" s="35"/>
      <c r="J13" s="35"/>
      <c r="K13" s="34"/>
      <c r="L13" s="34"/>
      <c r="M13" s="34"/>
      <c r="N13" s="34"/>
      <c r="O13" s="43"/>
      <c r="P13" s="35"/>
      <c r="Q13" s="44"/>
      <c r="R13" s="26"/>
      <c r="S13" s="86"/>
      <c r="T13" s="26"/>
      <c r="U13" s="26"/>
      <c r="V13" s="26"/>
      <c r="W13" s="26"/>
      <c r="X13" s="26"/>
      <c r="Y13" s="26"/>
      <c r="Z13" s="26"/>
      <c r="AA13" s="26"/>
      <c r="AB13" s="26"/>
      <c r="AC13" s="26"/>
      <c r="AD13" s="26"/>
      <c r="AE13" s="26"/>
      <c r="AF13" s="26"/>
      <c r="AG13" s="26"/>
      <c r="AH13" s="26"/>
      <c r="AI13" s="26"/>
      <c r="AJ13" s="26"/>
      <c r="AK13" s="26"/>
      <c r="AL13" s="26"/>
      <c r="AM13" s="26"/>
      <c r="AN13" s="26"/>
      <c r="AO13" s="26"/>
      <c r="AP13" s="26"/>
      <c r="AQ13" s="26"/>
      <c r="AR13" s="26"/>
      <c r="AS13" s="26"/>
      <c r="AT13" s="26"/>
      <c r="AU13" s="26"/>
      <c r="AV13" s="26"/>
      <c r="AW13" s="26"/>
      <c r="AX13" s="26"/>
      <c r="AY13" s="26"/>
      <c r="AZ13" s="26"/>
      <c r="BA13" s="26"/>
      <c r="BB13" s="26"/>
      <c r="BC13" s="26"/>
      <c r="BD13" s="26"/>
      <c r="BE13" s="26"/>
      <c r="BF13" s="26"/>
    </row>
    <row r="14" spans="1:58" x14ac:dyDescent="0.3">
      <c r="A14" s="53"/>
      <c r="B14" s="34"/>
      <c r="C14" s="42" t="str">
        <f>IF($D$9="RECT","Area","")</f>
        <v>Area</v>
      </c>
      <c r="D14" s="62">
        <f>IF(D12="","",IF(D9="round","",F14))</f>
        <v>1296</v>
      </c>
      <c r="E14" s="54"/>
      <c r="F14" s="60">
        <f>IF(D9="round",3.1416*(G11/2)^2,IF(G12&lt;12,"",G11*G12))</f>
        <v>1296</v>
      </c>
      <c r="G14" s="35" t="s">
        <v>22</v>
      </c>
      <c r="H14" s="35"/>
      <c r="I14" s="35"/>
      <c r="J14" s="35"/>
      <c r="K14" s="35"/>
      <c r="L14" s="34"/>
      <c r="M14" s="34"/>
      <c r="N14" s="34"/>
      <c r="O14" s="34"/>
      <c r="P14" s="35"/>
      <c r="Q14" s="44"/>
      <c r="R14" s="26"/>
      <c r="S14" s="26"/>
      <c r="T14" s="26"/>
      <c r="U14" s="26"/>
      <c r="V14" s="26"/>
      <c r="W14" s="26"/>
      <c r="X14" s="26"/>
      <c r="Y14" s="26"/>
      <c r="Z14" s="26"/>
      <c r="AA14" s="26"/>
      <c r="AB14" s="26"/>
      <c r="AC14" s="26"/>
      <c r="AD14" s="26"/>
      <c r="AE14" s="26"/>
      <c r="AF14" s="26"/>
      <c r="AG14" s="26"/>
      <c r="AH14" s="26"/>
      <c r="AI14" s="26"/>
      <c r="AJ14" s="26"/>
      <c r="AK14" s="26"/>
      <c r="AL14" s="26"/>
      <c r="AM14" s="26"/>
      <c r="AN14" s="26"/>
      <c r="AO14" s="26"/>
      <c r="AP14" s="26"/>
      <c r="AQ14" s="26"/>
      <c r="AR14" s="26"/>
      <c r="AS14" s="26"/>
      <c r="AT14" s="26"/>
      <c r="AU14" s="26"/>
      <c r="AV14" s="26"/>
      <c r="AW14" s="26"/>
      <c r="AX14" s="26"/>
      <c r="AY14" s="26"/>
      <c r="AZ14" s="26"/>
      <c r="BA14" s="26"/>
      <c r="BB14" s="26"/>
      <c r="BC14" s="26"/>
      <c r="BD14" s="26"/>
      <c r="BE14" s="26"/>
      <c r="BF14" s="26"/>
    </row>
    <row r="15" spans="1:58" ht="15" thickBot="1" x14ac:dyDescent="0.35">
      <c r="A15" s="53"/>
      <c r="B15" s="34"/>
      <c r="C15" s="42" t="str">
        <f>IF($D$9="RECT","P/A","")</f>
        <v>P/A</v>
      </c>
      <c r="D15" s="46">
        <f>IF(C15="","",IF(D9="round","",F15))</f>
        <v>0.1111111111111111</v>
      </c>
      <c r="E15" s="46" t="str">
        <f>IF(F15="","",IF(F15&lt;0.083,"P/A too low",IF(F15&gt;0.278,"P/A too high","")))</f>
        <v/>
      </c>
      <c r="F15" s="46">
        <f>IF(D9="RECT",IF(D12="","",IF(D11="","",F13/F14)),IF(D11="","",F13/F14))</f>
        <v>0.1111111111111111</v>
      </c>
      <c r="G15" s="47"/>
      <c r="H15" s="35"/>
      <c r="I15" s="35"/>
      <c r="J15" s="35"/>
      <c r="K15" s="35"/>
      <c r="L15" s="35"/>
      <c r="M15" s="35"/>
      <c r="N15" s="34"/>
      <c r="O15" s="34"/>
      <c r="P15" s="35"/>
      <c r="Q15" s="44"/>
      <c r="R15" s="26"/>
      <c r="S15" s="86"/>
      <c r="T15" s="26"/>
      <c r="U15" s="26"/>
      <c r="V15" s="26"/>
      <c r="W15" s="26"/>
      <c r="X15" s="26"/>
      <c r="Y15" s="26"/>
      <c r="Z15" s="26"/>
      <c r="AA15" s="26"/>
      <c r="AB15" s="26"/>
      <c r="AC15" s="26"/>
      <c r="AD15" s="26"/>
      <c r="AE15" s="26"/>
      <c r="AF15" s="26"/>
      <c r="AG15" s="26"/>
      <c r="AH15" s="26"/>
      <c r="AI15" s="26"/>
      <c r="AJ15" s="26"/>
      <c r="AK15" s="26"/>
      <c r="AL15" s="26"/>
      <c r="AM15" s="26"/>
      <c r="AN15" s="26"/>
      <c r="AO15" s="26"/>
      <c r="AP15" s="26"/>
      <c r="AQ15" s="26"/>
      <c r="AR15" s="26"/>
      <c r="AS15" s="26"/>
      <c r="AT15" s="26"/>
      <c r="AU15" s="26"/>
      <c r="AV15" s="26"/>
      <c r="AW15" s="26"/>
      <c r="AX15" s="26"/>
      <c r="AY15" s="26"/>
      <c r="AZ15" s="26"/>
      <c r="BA15" s="26"/>
      <c r="BB15" s="26"/>
      <c r="BC15" s="26"/>
      <c r="BD15" s="26"/>
      <c r="BE15" s="26"/>
      <c r="BF15" s="26"/>
    </row>
    <row r="16" spans="1:58" ht="21.6" thickTop="1" x14ac:dyDescent="0.4">
      <c r="A16" s="58"/>
      <c r="B16" s="34"/>
      <c r="C16" s="35"/>
      <c r="D16" s="100" t="str">
        <f>IF(F15="","",IF(F15&gt;0.278,"Use with caution; P/A ratio not valid in some small ducts",""))</f>
        <v/>
      </c>
      <c r="E16" s="48"/>
      <c r="F16" s="49"/>
      <c r="G16" s="47"/>
      <c r="H16" s="63"/>
      <c r="I16" s="64"/>
      <c r="J16" s="65" t="str">
        <f>IF(D9="RECT","RECTANGULAR DUCT ",IF(D9="round","ROUND DUCT",""))</f>
        <v xml:space="preserve">RECTANGULAR DUCT </v>
      </c>
      <c r="K16" s="66" t="str">
        <f>IF(D8="IP",IF(D9="RECT",CONCATENATE(D11,"'' width ID x ",D12,"'' height ID, ",D10," ft long"),CONCATENATE(D11,"'' diameter ID, ",D10," ft long")),IF(D9="RECT",CONCATENATE(D11," mm width ID x ",D12," mm height ID, ",D10," m long"),CONCATENATE(D11," mm diameter ID, ",D10," m long")))</f>
        <v>36'' width ID x 36'' height ID, 15 ft long</v>
      </c>
      <c r="L16" s="66"/>
      <c r="M16" s="64"/>
      <c r="N16" s="67"/>
      <c r="O16" s="67"/>
      <c r="P16" s="68"/>
      <c r="Q16" s="35"/>
      <c r="R16" s="26"/>
      <c r="S16" s="26"/>
      <c r="T16" s="26"/>
      <c r="U16" s="28"/>
      <c r="V16" s="28"/>
      <c r="W16" s="28"/>
      <c r="X16" s="28"/>
      <c r="Y16" s="28"/>
      <c r="Z16" s="28"/>
      <c r="AA16" s="26"/>
      <c r="AB16" s="26"/>
      <c r="AC16" s="26"/>
      <c r="AD16" s="26"/>
      <c r="AE16" s="26"/>
      <c r="AF16" s="26"/>
      <c r="AG16" s="26"/>
      <c r="AH16" s="26"/>
      <c r="AI16" s="26"/>
      <c r="AJ16" s="26"/>
      <c r="AK16" s="26"/>
      <c r="AL16" s="26"/>
      <c r="AM16" s="26"/>
      <c r="AN16" s="26"/>
      <c r="AO16" s="26"/>
      <c r="AP16" s="26"/>
      <c r="AQ16" s="26"/>
      <c r="AR16" s="26"/>
      <c r="AS16" s="26"/>
      <c r="AT16" s="26"/>
      <c r="AU16" s="26"/>
      <c r="AV16" s="26"/>
      <c r="AW16" s="26"/>
      <c r="AX16" s="26"/>
      <c r="AY16" s="26"/>
      <c r="AZ16" s="26"/>
      <c r="BA16" s="26"/>
      <c r="BB16" s="26"/>
      <c r="BC16" s="26"/>
      <c r="BD16" s="26"/>
      <c r="BE16" s="26"/>
      <c r="BF16" s="26"/>
    </row>
    <row r="17" spans="1:58" ht="15" thickBot="1" x14ac:dyDescent="0.35">
      <c r="A17" s="53"/>
      <c r="B17" s="34"/>
      <c r="C17" s="35"/>
      <c r="D17" s="101" t="s">
        <v>43</v>
      </c>
      <c r="E17" s="35"/>
      <c r="F17" s="35"/>
      <c r="G17" s="35"/>
      <c r="H17" s="99" t="s">
        <v>42</v>
      </c>
      <c r="I17" s="93">
        <v>63</v>
      </c>
      <c r="J17" s="93">
        <v>125</v>
      </c>
      <c r="K17" s="93">
        <v>250</v>
      </c>
      <c r="L17" s="93">
        <v>500</v>
      </c>
      <c r="M17" s="93">
        <v>1000</v>
      </c>
      <c r="N17" s="93">
        <v>2000</v>
      </c>
      <c r="O17" s="93">
        <v>4000</v>
      </c>
      <c r="P17" s="94">
        <v>8000</v>
      </c>
      <c r="Q17" s="35"/>
      <c r="R17" s="26"/>
      <c r="S17" s="26"/>
      <c r="T17" s="26"/>
      <c r="U17" s="28"/>
      <c r="V17" s="28"/>
      <c r="W17" s="28"/>
      <c r="X17" s="28"/>
      <c r="Y17" s="28"/>
      <c r="Z17" s="28"/>
      <c r="AA17" s="26"/>
      <c r="AB17" s="26"/>
      <c r="AC17" s="26"/>
      <c r="AD17" s="26"/>
      <c r="AE17" s="26"/>
      <c r="AF17" s="26"/>
      <c r="AG17" s="26"/>
      <c r="AH17" s="26"/>
      <c r="AI17" s="26"/>
      <c r="AJ17" s="26"/>
      <c r="AK17" s="26"/>
      <c r="AL17" s="26"/>
      <c r="AM17" s="26"/>
      <c r="AN17" s="26"/>
      <c r="AO17" s="26"/>
      <c r="AP17" s="26"/>
      <c r="AQ17" s="26"/>
      <c r="AR17" s="26"/>
      <c r="AS17" s="26"/>
      <c r="AT17" s="26"/>
      <c r="AU17" s="26"/>
      <c r="AV17" s="26"/>
      <c r="AW17" s="26"/>
      <c r="AX17" s="26"/>
      <c r="AY17" s="26"/>
      <c r="AZ17" s="26"/>
      <c r="BA17" s="26"/>
      <c r="BB17" s="26"/>
      <c r="BC17" s="26"/>
      <c r="BD17" s="26"/>
      <c r="BE17" s="26"/>
      <c r="BF17" s="26"/>
    </row>
    <row r="18" spans="1:58" ht="15" thickTop="1" x14ac:dyDescent="0.3">
      <c r="A18" s="53"/>
      <c r="B18" s="90"/>
      <c r="C18" s="89"/>
      <c r="D18" s="95" t="s">
        <v>40</v>
      </c>
      <c r="E18" s="74"/>
      <c r="F18" s="35"/>
      <c r="G18" s="35"/>
      <c r="H18" s="69" t="str">
        <f>IF(D$8="IP","1'' liner","25 mm liner")</f>
        <v>1'' liner</v>
      </c>
      <c r="I18" s="33">
        <f>IF($D$9="RECT",'Coeff+Calc'!N6,'Coeff+Calc'!P66)</f>
        <v>0</v>
      </c>
      <c r="J18" s="33">
        <f>IF($D$9="RECT",'Coeff+Calc'!N7,'Coeff+Calc'!P67)</f>
        <v>1.2076340091650146</v>
      </c>
      <c r="K18" s="33">
        <f>IF($D$9="RECT",'Coeff+Calc'!N8,'Coeff+Calc'!P68)</f>
        <v>4.3533436004725656</v>
      </c>
      <c r="L18" s="33">
        <f>IF($D$9="RECT",'Coeff+Calc'!N9,'Coeff+Calc'!P69)</f>
        <v>15.945460195506572</v>
      </c>
      <c r="M18" s="33">
        <f>IF($D$9="RECT",'Coeff+Calc'!N10,'Coeff+Calc'!P70)</f>
        <v>27.092728931449479</v>
      </c>
      <c r="N18" s="33">
        <f>IF($D$9="RECT",'Coeff+Calc'!N11,'Coeff+Calc'!P71)</f>
        <v>12.505654110519405</v>
      </c>
      <c r="O18" s="33">
        <f>IF($D$9="RECT",'Coeff+Calc'!N12,'Coeff+Calc'!P72)</f>
        <v>8.9294793703019106</v>
      </c>
      <c r="P18" s="70">
        <f>IF($D$9="RECT",'Coeff+Calc'!N13,'Coeff+Calc'!P73)</f>
        <v>7.5172708254458618</v>
      </c>
      <c r="Q18" s="35"/>
      <c r="R18" s="26"/>
      <c r="S18" s="26"/>
      <c r="T18" s="26"/>
      <c r="U18" s="28"/>
      <c r="V18" s="29"/>
      <c r="W18" s="30"/>
      <c r="X18" s="26"/>
      <c r="Y18" s="26"/>
      <c r="Z18" s="26"/>
      <c r="AA18" s="26"/>
      <c r="AB18" s="26"/>
      <c r="AC18" s="26"/>
      <c r="AD18" s="26"/>
      <c r="AE18" s="26"/>
      <c r="AF18" s="26"/>
      <c r="AG18" s="26"/>
      <c r="AH18" s="26"/>
      <c r="AI18" s="26"/>
      <c r="AJ18" s="26"/>
      <c r="AK18" s="26"/>
      <c r="AL18" s="26"/>
      <c r="AM18" s="26"/>
      <c r="AN18" s="26"/>
      <c r="AO18" s="26"/>
      <c r="AP18" s="26"/>
      <c r="AQ18" s="26"/>
      <c r="AR18" s="26"/>
      <c r="AS18" s="26"/>
      <c r="AT18" s="26"/>
      <c r="AU18" s="26"/>
      <c r="AV18" s="26"/>
      <c r="AW18" s="26"/>
      <c r="AX18" s="26"/>
      <c r="AY18" s="26"/>
      <c r="AZ18" s="26"/>
      <c r="BA18" s="26"/>
      <c r="BB18" s="26"/>
      <c r="BC18" s="26"/>
      <c r="BD18" s="26"/>
      <c r="BE18" s="26"/>
      <c r="BF18" s="26"/>
    </row>
    <row r="19" spans="1:58" ht="16.2" thickBot="1" x14ac:dyDescent="0.35">
      <c r="A19" s="53"/>
      <c r="B19" s="34"/>
      <c r="C19" s="69"/>
      <c r="D19" s="92" t="str">
        <f>K16</f>
        <v>36'' width ID x 36'' height ID, 15 ft long</v>
      </c>
      <c r="E19" s="75"/>
      <c r="F19" s="35"/>
      <c r="G19" s="35"/>
      <c r="H19" s="71" t="str">
        <f>IF(D$8="IP","2'' liner","50 mm liner")</f>
        <v>2'' liner</v>
      </c>
      <c r="I19" s="72">
        <f>IF($D$9="RECT",'Coeff+Calc'!$N36,'Coeff+Calc'!$P96)</f>
        <v>0.83820523181241391</v>
      </c>
      <c r="J19" s="72">
        <f>IF($D$9="RECT",'Coeff+Calc'!$N37,'Coeff+Calc'!$P97)</f>
        <v>3.5116316476559346</v>
      </c>
      <c r="K19" s="72">
        <f>IF($D$9="RECT",'Coeff+Calc'!$N38,'Coeff+Calc'!$P98)</f>
        <v>13.11404325969958</v>
      </c>
      <c r="L19" s="72">
        <f>IF($D$9="RECT",'Coeff+Calc'!$N39,'Coeff+Calc'!$P99)</f>
        <v>35.696535317003523</v>
      </c>
      <c r="M19" s="72">
        <f>IF($D$9="RECT",'Coeff+Calc'!$N40,'Coeff+Calc'!$P100)</f>
        <v>20.532342879082378</v>
      </c>
      <c r="N19" s="72">
        <f>IF($D$9="RECT",'Coeff+Calc'!$N41,'Coeff+Calc'!$P101)</f>
        <v>11.64424120599511</v>
      </c>
      <c r="O19" s="72">
        <f>IF($D$9="RECT",'Coeff+Calc'!$N42,'Coeff+Calc'!$P102)</f>
        <v>9.588081403473641</v>
      </c>
      <c r="P19" s="73">
        <f>IF($D$9="RECT",'Coeff+Calc'!$N43,'Coeff+Calc'!$P103)</f>
        <v>9.0970292383356828</v>
      </c>
      <c r="Q19" s="35"/>
      <c r="R19" s="26"/>
      <c r="S19" s="26"/>
      <c r="T19" s="26"/>
      <c r="U19" s="26"/>
      <c r="V19" s="26"/>
      <c r="W19" s="26"/>
      <c r="X19" s="26"/>
      <c r="Y19" s="26"/>
      <c r="Z19" s="26"/>
      <c r="AA19" s="26"/>
      <c r="AB19" s="26"/>
      <c r="AC19" s="26"/>
      <c r="AD19" s="26"/>
      <c r="AE19" s="26"/>
      <c r="AF19" s="26"/>
      <c r="AG19" s="26"/>
      <c r="AH19" s="26"/>
      <c r="AI19" s="26"/>
      <c r="AJ19" s="26"/>
      <c r="AK19" s="26"/>
      <c r="AL19" s="26"/>
      <c r="AM19" s="26"/>
      <c r="AN19" s="26"/>
      <c r="AO19" s="26"/>
      <c r="AP19" s="26"/>
      <c r="AQ19" s="26"/>
      <c r="AR19" s="26"/>
      <c r="AS19" s="26"/>
      <c r="AT19" s="26"/>
      <c r="AU19" s="26"/>
      <c r="AV19" s="26"/>
      <c r="AW19" s="26"/>
      <c r="AX19" s="26"/>
      <c r="AY19" s="26"/>
      <c r="AZ19" s="26"/>
      <c r="BA19" s="26"/>
      <c r="BB19" s="26"/>
      <c r="BC19" s="26"/>
      <c r="BD19" s="26"/>
      <c r="BE19" s="26"/>
      <c r="BF19" s="26"/>
    </row>
    <row r="20" spans="1:58" ht="15" thickTop="1" x14ac:dyDescent="0.3">
      <c r="A20" s="88"/>
      <c r="B20" s="34"/>
      <c r="C20" s="98" t="s">
        <v>41</v>
      </c>
      <c r="D20" s="96" t="str">
        <f>IF($D$8="IP","1'' Liner","25 mm Liner")</f>
        <v>1'' Liner</v>
      </c>
      <c r="E20" s="97" t="str">
        <f>IF($D$8="IP","2'' Liner","50 mm Liner")</f>
        <v>2'' Liner</v>
      </c>
      <c r="F20" s="50" t="s">
        <v>19</v>
      </c>
      <c r="G20" s="50" t="s">
        <v>20</v>
      </c>
      <c r="H20" s="35"/>
      <c r="I20" s="34"/>
      <c r="J20" s="34"/>
      <c r="K20" s="35"/>
      <c r="L20" s="34"/>
      <c r="M20" s="44"/>
      <c r="N20" s="34"/>
      <c r="O20" s="34"/>
      <c r="P20" s="34"/>
      <c r="Q20" s="35"/>
      <c r="R20" s="26"/>
      <c r="S20" s="26"/>
      <c r="T20" s="26"/>
      <c r="U20" s="26"/>
      <c r="V20" s="26"/>
      <c r="W20" s="26"/>
      <c r="X20" s="26"/>
      <c r="Y20" s="26"/>
      <c r="Z20" s="26"/>
      <c r="AA20" s="26"/>
      <c r="AB20" s="26"/>
      <c r="AC20" s="26"/>
      <c r="AD20" s="26"/>
      <c r="AE20" s="26"/>
      <c r="AF20" s="26"/>
      <c r="AG20" s="26"/>
      <c r="AH20" s="26"/>
      <c r="AI20" s="26"/>
      <c r="AJ20" s="26"/>
      <c r="AK20" s="26"/>
      <c r="AL20" s="26"/>
      <c r="AM20" s="26"/>
      <c r="AN20" s="26"/>
      <c r="AO20" s="26"/>
      <c r="AP20" s="26"/>
      <c r="AQ20" s="26"/>
      <c r="AR20" s="26"/>
      <c r="AS20" s="26"/>
      <c r="AT20" s="26"/>
      <c r="AU20" s="26"/>
      <c r="AV20" s="26"/>
      <c r="AW20" s="26"/>
      <c r="AX20" s="26"/>
      <c r="AY20" s="26"/>
      <c r="AZ20" s="26"/>
      <c r="BA20" s="26"/>
      <c r="BB20" s="26"/>
      <c r="BC20" s="26"/>
      <c r="BD20" s="26"/>
      <c r="BE20" s="26"/>
      <c r="BF20" s="26"/>
    </row>
    <row r="21" spans="1:58" x14ac:dyDescent="0.3">
      <c r="A21" s="53"/>
      <c r="B21" s="34"/>
      <c r="C21" s="76">
        <v>50</v>
      </c>
      <c r="D21" s="33">
        <f>IF($D$9="RECT",'Coeff+Calc'!$K6,'Coeff+Calc'!$M66)</f>
        <v>0</v>
      </c>
      <c r="E21" s="70">
        <f>IF($D$9="RECT",'Coeff+Calc'!$K36,'Coeff+Calc'!$M96)</f>
        <v>1.6663476044979757</v>
      </c>
      <c r="F21" s="44">
        <f>IF($D$9="RECT",MIN('Coeff+Calc'!$O6,'Coeff+Calc'!$O36),MIN('Coeff+Calc'!$S66,'Coeff+Calc'!$S96))</f>
        <v>-4.0600849547726714</v>
      </c>
      <c r="G21" s="44">
        <f>IF($D$9="RECT",MAX('Coeff+Calc'!$Q6,'Coeff+Calc'!$Q36),MAX('Coeff+Calc'!$U66,'Coeff+Calc'!$U96))</f>
        <v>7.3927801637686219</v>
      </c>
      <c r="H21" s="51"/>
      <c r="I21" s="51"/>
      <c r="J21" s="51"/>
      <c r="K21" s="51"/>
      <c r="L21" s="51"/>
      <c r="M21" s="51"/>
      <c r="N21" s="51"/>
      <c r="O21" s="51"/>
      <c r="P21" s="51"/>
      <c r="Q21" s="51"/>
      <c r="R21" s="31"/>
      <c r="S21" s="31"/>
      <c r="T21" s="31"/>
      <c r="U21" s="31"/>
      <c r="V21" s="31"/>
      <c r="W21" s="31"/>
      <c r="X21" s="31"/>
      <c r="Y21" s="31"/>
      <c r="Z21" s="31"/>
      <c r="AA21" s="26"/>
      <c r="AB21" s="26"/>
      <c r="AC21" s="26"/>
      <c r="AD21" s="26"/>
      <c r="AE21" s="26"/>
      <c r="AF21" s="26"/>
      <c r="AG21" s="26"/>
      <c r="AH21" s="26"/>
      <c r="AI21" s="26"/>
      <c r="AJ21" s="26"/>
      <c r="AK21" s="26"/>
      <c r="AL21" s="26"/>
      <c r="AM21" s="26"/>
      <c r="AN21" s="26"/>
      <c r="AO21" s="26"/>
      <c r="AP21" s="26"/>
      <c r="AQ21" s="26"/>
      <c r="AR21" s="26"/>
      <c r="AS21" s="26"/>
      <c r="AT21" s="26"/>
      <c r="AU21" s="26"/>
      <c r="AV21" s="26"/>
      <c r="AW21" s="26"/>
      <c r="AX21" s="26"/>
      <c r="AY21" s="26"/>
      <c r="AZ21" s="26"/>
      <c r="BA21" s="26"/>
      <c r="BB21" s="26"/>
      <c r="BC21" s="26"/>
      <c r="BD21" s="26"/>
      <c r="BE21" s="26"/>
      <c r="BF21" s="26"/>
    </row>
    <row r="22" spans="1:58" x14ac:dyDescent="0.3">
      <c r="A22" s="53"/>
      <c r="B22" s="82"/>
      <c r="C22" s="76">
        <v>63</v>
      </c>
      <c r="D22" s="33">
        <f>IF($D$9="RECT",'Coeff+Calc'!$K7,'Coeff+Calc'!$M67)</f>
        <v>0</v>
      </c>
      <c r="E22" s="70">
        <f>IF($D$9="RECT",'Coeff+Calc'!$K37,'Coeff+Calc'!$M97)</f>
        <v>0.72265350436524145</v>
      </c>
      <c r="F22" s="44">
        <f>IF($D$9="RECT",MIN('Coeff+Calc'!$O7,'Coeff+Calc'!$O37),MIN('Coeff+Calc'!$S67,'Coeff+Calc'!$S97))</f>
        <v>-5.8187822872629731</v>
      </c>
      <c r="G22" s="44">
        <f>IF($D$9="RECT",MAX('Coeff+Calc'!$Q7,'Coeff+Calc'!$Q37),MAX('Coeff+Calc'!$U67,'Coeff+Calc'!$U97))</f>
        <v>7.2640892959934558</v>
      </c>
      <c r="H22" s="44"/>
      <c r="I22" s="44"/>
      <c r="J22" s="44"/>
      <c r="K22" s="44"/>
      <c r="L22" s="44"/>
      <c r="M22" s="44"/>
      <c r="N22" s="44"/>
      <c r="O22" s="44"/>
      <c r="P22" s="44"/>
      <c r="Q22" s="44"/>
      <c r="R22" s="32"/>
      <c r="S22" s="32"/>
      <c r="T22" s="32"/>
      <c r="U22" s="32"/>
      <c r="V22" s="32"/>
      <c r="W22" s="32"/>
      <c r="X22" s="32"/>
      <c r="Y22" s="32"/>
      <c r="Z22" s="32"/>
      <c r="AA22" s="26"/>
      <c r="AB22" s="26"/>
      <c r="AC22" s="26"/>
      <c r="AD22" s="26"/>
      <c r="AE22" s="26"/>
      <c r="AF22" s="26"/>
      <c r="AG22" s="26"/>
      <c r="AH22" s="26"/>
      <c r="AI22" s="26"/>
      <c r="AJ22" s="26"/>
      <c r="AK22" s="26"/>
      <c r="AL22" s="26"/>
      <c r="AM22" s="26"/>
      <c r="AN22" s="26"/>
      <c r="AO22" s="26"/>
      <c r="AP22" s="26"/>
      <c r="AQ22" s="26"/>
      <c r="AR22" s="26"/>
      <c r="AS22" s="26"/>
      <c r="AT22" s="26"/>
      <c r="AU22" s="26"/>
      <c r="AV22" s="26"/>
      <c r="AW22" s="26"/>
      <c r="AX22" s="26"/>
      <c r="AY22" s="26"/>
      <c r="AZ22" s="26"/>
      <c r="BA22" s="26"/>
      <c r="BB22" s="26"/>
      <c r="BC22" s="26"/>
      <c r="BD22" s="26"/>
      <c r="BE22" s="26"/>
      <c r="BF22" s="26"/>
    </row>
    <row r="23" spans="1:58" x14ac:dyDescent="0.3">
      <c r="A23" s="53"/>
      <c r="B23" s="34"/>
      <c r="C23" s="76">
        <v>80</v>
      </c>
      <c r="D23" s="33">
        <f>IF($D$9="RECT",'Coeff+Calc'!$K8,'Coeff+Calc'!$M68)</f>
        <v>0</v>
      </c>
      <c r="E23" s="70">
        <f>IF($D$9="RECT",'Coeff+Calc'!$K38,'Coeff+Calc'!$M98)</f>
        <v>0.24391632032961408</v>
      </c>
      <c r="F23" s="44">
        <f>IF($D$9="RECT",MIN('Coeff+Calc'!$O8,'Coeff+Calc'!$O38),MIN('Coeff+Calc'!$S68,'Coeff+Calc'!$S98))</f>
        <v>-0.17115986351903029</v>
      </c>
      <c r="G23" s="44">
        <f>IF($D$9="RECT",MAX('Coeff+Calc'!$Q8,'Coeff+Calc'!$Q38),MAX('Coeff+Calc'!$U68,'Coeff+Calc'!$U98))</f>
        <v>0.6589925041782585</v>
      </c>
      <c r="H23" s="35"/>
      <c r="I23" s="35"/>
      <c r="J23" s="52"/>
      <c r="K23" s="35"/>
      <c r="L23" s="34"/>
      <c r="M23" s="44"/>
      <c r="N23" s="34"/>
      <c r="O23" s="34"/>
      <c r="P23" s="34"/>
      <c r="Q23" s="35"/>
      <c r="R23" s="26"/>
      <c r="S23" s="26"/>
      <c r="T23" s="26"/>
      <c r="U23" s="26"/>
      <c r="V23" s="28"/>
      <c r="W23" s="28"/>
      <c r="X23" s="26"/>
      <c r="Y23" s="26"/>
      <c r="Z23" s="26"/>
      <c r="AA23" s="26"/>
      <c r="AB23" s="26"/>
      <c r="AC23" s="26"/>
      <c r="AD23" s="26"/>
      <c r="AE23" s="26"/>
      <c r="AF23" s="26"/>
      <c r="AG23" s="26"/>
      <c r="AH23" s="26"/>
      <c r="AI23" s="26"/>
      <c r="AJ23" s="26"/>
      <c r="AK23" s="26"/>
      <c r="AL23" s="26"/>
      <c r="AM23" s="26"/>
      <c r="AN23" s="26"/>
      <c r="AO23" s="26"/>
      <c r="AP23" s="26"/>
      <c r="AQ23" s="26"/>
      <c r="AR23" s="26"/>
      <c r="AS23" s="26"/>
      <c r="AT23" s="26"/>
      <c r="AU23" s="26"/>
      <c r="AV23" s="26"/>
      <c r="AW23" s="26"/>
      <c r="AX23" s="26"/>
      <c r="AY23" s="26"/>
      <c r="AZ23" s="26"/>
      <c r="BA23" s="26"/>
      <c r="BB23" s="26"/>
      <c r="BC23" s="26"/>
      <c r="BD23" s="26"/>
      <c r="BE23" s="26"/>
      <c r="BF23" s="26"/>
    </row>
    <row r="24" spans="1:58" x14ac:dyDescent="0.3">
      <c r="A24" s="53"/>
      <c r="B24" s="34"/>
      <c r="C24" s="76">
        <v>100</v>
      </c>
      <c r="D24" s="33">
        <f>IF($D$9="RECT",'Coeff+Calc'!$K9,'Coeff+Calc'!$M69)</f>
        <v>0.67663948422079845</v>
      </c>
      <c r="E24" s="70">
        <f>IF($D$9="RECT",'Coeff+Calc'!$K39,'Coeff+Calc'!$M99)</f>
        <v>2.1300739282520809</v>
      </c>
      <c r="F24" s="44">
        <f>IF($D$9="RECT",MIN('Coeff+Calc'!$O9,'Coeff+Calc'!$O39),MIN('Coeff+Calc'!$S69,'Coeff+Calc'!$S99))</f>
        <v>-5.3971619396090125</v>
      </c>
      <c r="G24" s="44">
        <f>IF($D$9="RECT",MAX('Coeff+Calc'!$Q9,'Coeff+Calc'!$Q39),MAX('Coeff+Calc'!$U69,'Coeff+Calc'!$U99))</f>
        <v>6.7504409080506091</v>
      </c>
      <c r="H24" s="35"/>
      <c r="I24" s="35"/>
      <c r="J24" s="52"/>
      <c r="K24" s="35"/>
      <c r="L24" s="34"/>
      <c r="M24" s="44"/>
      <c r="N24" s="34"/>
      <c r="O24" s="34"/>
      <c r="P24" s="34"/>
      <c r="Q24" s="35"/>
      <c r="R24" s="26"/>
      <c r="S24" s="26"/>
      <c r="T24" s="26"/>
      <c r="U24" s="26"/>
      <c r="V24" s="28"/>
      <c r="W24" s="28"/>
      <c r="X24" s="26"/>
      <c r="Y24" s="26"/>
      <c r="Z24" s="26"/>
      <c r="AA24" s="26"/>
      <c r="AB24" s="26"/>
      <c r="AC24" s="26"/>
      <c r="AD24" s="26"/>
      <c r="AE24" s="26"/>
      <c r="AF24" s="26"/>
      <c r="AG24" s="26"/>
      <c r="AH24" s="26"/>
      <c r="AI24" s="26"/>
      <c r="AJ24" s="26"/>
      <c r="AK24" s="26"/>
      <c r="AL24" s="26"/>
      <c r="AM24" s="26"/>
      <c r="AN24" s="26"/>
      <c r="AO24" s="26"/>
      <c r="AP24" s="26"/>
      <c r="AQ24" s="26"/>
      <c r="AR24" s="26"/>
      <c r="AS24" s="26"/>
      <c r="AT24" s="26"/>
      <c r="AU24" s="26"/>
      <c r="AV24" s="26"/>
      <c r="AW24" s="26"/>
      <c r="AX24" s="26"/>
      <c r="AY24" s="26"/>
      <c r="AZ24" s="26"/>
      <c r="BA24" s="26"/>
      <c r="BB24" s="26"/>
      <c r="BC24" s="26"/>
      <c r="BD24" s="26"/>
      <c r="BE24" s="26"/>
      <c r="BF24" s="26"/>
    </row>
    <row r="25" spans="1:58" x14ac:dyDescent="0.3">
      <c r="A25" s="53"/>
      <c r="B25" s="34"/>
      <c r="C25" s="76">
        <v>125</v>
      </c>
      <c r="D25" s="33">
        <f>IF($D$9="RECT",'Coeff+Calc'!$K10,'Coeff+Calc'!$M70)</f>
        <v>1.6682336316501629</v>
      </c>
      <c r="E25" s="70">
        <f>IF($D$9="RECT",'Coeff+Calc'!$K40,'Coeff+Calc'!$M100)</f>
        <v>3.9910732864547196</v>
      </c>
      <c r="F25" s="44">
        <f>IF($D$9="RECT",MIN('Coeff+Calc'!$O10,'Coeff+Calc'!$O40),MIN('Coeff+Calc'!$S70,'Coeff+Calc'!$S100))</f>
        <v>9.1463307372921188E-2</v>
      </c>
      <c r="G25" s="44">
        <f>IF($D$9="RECT",MAX('Coeff+Calc'!$Q10,'Coeff+Calc'!$Q40),MAX('Coeff+Calc'!$U70,'Coeff+Calc'!$U100))</f>
        <v>5.5386576884854746</v>
      </c>
      <c r="H25" s="35"/>
      <c r="I25" s="35"/>
      <c r="J25" s="52"/>
      <c r="K25" s="35"/>
      <c r="L25" s="34"/>
      <c r="M25" s="44"/>
      <c r="N25" s="34"/>
      <c r="O25" s="34"/>
      <c r="P25" s="34"/>
      <c r="Q25" s="35"/>
      <c r="R25" s="26"/>
      <c r="S25" s="26"/>
      <c r="T25" s="26"/>
      <c r="U25" s="26"/>
      <c r="V25" s="28"/>
      <c r="W25" s="28"/>
      <c r="X25" s="26"/>
      <c r="Y25" s="26"/>
      <c r="Z25" s="26"/>
      <c r="AA25" s="26"/>
      <c r="AB25" s="26"/>
      <c r="AC25" s="26"/>
      <c r="AD25" s="26"/>
      <c r="AE25" s="26"/>
      <c r="AF25" s="26"/>
      <c r="AG25" s="26"/>
      <c r="AH25" s="26"/>
      <c r="AI25" s="26"/>
      <c r="AJ25" s="26"/>
      <c r="AK25" s="26"/>
      <c r="AL25" s="26"/>
      <c r="AM25" s="26"/>
      <c r="AN25" s="26"/>
      <c r="AO25" s="26"/>
      <c r="AP25" s="26"/>
      <c r="AQ25" s="26"/>
      <c r="AR25" s="26"/>
      <c r="AS25" s="26"/>
      <c r="AT25" s="26"/>
      <c r="AU25" s="26"/>
      <c r="AV25" s="26"/>
      <c r="AW25" s="26"/>
      <c r="AX25" s="26"/>
      <c r="AY25" s="26"/>
      <c r="AZ25" s="26"/>
      <c r="BA25" s="26"/>
      <c r="BB25" s="26"/>
      <c r="BC25" s="26"/>
      <c r="BD25" s="26"/>
      <c r="BE25" s="26"/>
      <c r="BF25" s="26"/>
    </row>
    <row r="26" spans="1:58" x14ac:dyDescent="0.3">
      <c r="A26" s="53"/>
      <c r="B26" s="34"/>
      <c r="C26" s="76">
        <v>160</v>
      </c>
      <c r="D26" s="33">
        <f>IF($D$9="RECT",'Coeff+Calc'!$K11,'Coeff+Calc'!$M71)</f>
        <v>1.337356709932886</v>
      </c>
      <c r="E26" s="70">
        <f>IF($D$9="RECT",'Coeff+Calc'!$K41,'Coeff+Calc'!$M101)</f>
        <v>4.8784910361474534</v>
      </c>
      <c r="F26" s="44">
        <f>IF($D$9="RECT",MIN('Coeff+Calc'!$O11,'Coeff+Calc'!$O41),MIN('Coeff+Calc'!$S71,'Coeff+Calc'!$S101))</f>
        <v>0.96693664152245717</v>
      </c>
      <c r="G26" s="44">
        <f>IF($D$9="RECT",MAX('Coeff+Calc'!$Q11,'Coeff+Calc'!$Q41),MAX('Coeff+Calc'!$U71,'Coeff+Calc'!$U101))</f>
        <v>6.7111255669150731</v>
      </c>
      <c r="H26" s="35"/>
      <c r="I26" s="35"/>
      <c r="J26" s="52"/>
      <c r="K26" s="35"/>
      <c r="L26" s="34"/>
      <c r="M26" s="44"/>
      <c r="N26" s="34"/>
      <c r="O26" s="34"/>
      <c r="P26" s="34"/>
      <c r="Q26" s="35"/>
      <c r="R26" s="26"/>
      <c r="S26" s="26"/>
      <c r="T26" s="26"/>
      <c r="U26" s="26"/>
      <c r="V26" s="28"/>
      <c r="W26" s="28"/>
      <c r="X26" s="26"/>
      <c r="Y26" s="26"/>
      <c r="Z26" s="26"/>
      <c r="AA26" s="26"/>
      <c r="AB26" s="26"/>
      <c r="AC26" s="26"/>
      <c r="AD26" s="26"/>
      <c r="AE26" s="26"/>
      <c r="AF26" s="26"/>
      <c r="AG26" s="26"/>
      <c r="AH26" s="26"/>
      <c r="AI26" s="26"/>
      <c r="AJ26" s="26"/>
      <c r="AK26" s="26"/>
      <c r="AL26" s="26"/>
      <c r="AM26" s="26"/>
      <c r="AN26" s="26"/>
      <c r="AO26" s="26"/>
      <c r="AP26" s="26"/>
      <c r="AQ26" s="26"/>
      <c r="AR26" s="26"/>
      <c r="AS26" s="26"/>
      <c r="AT26" s="26"/>
      <c r="AU26" s="26"/>
      <c r="AV26" s="26"/>
      <c r="AW26" s="26"/>
      <c r="AX26" s="26"/>
      <c r="AY26" s="26"/>
      <c r="AZ26" s="26"/>
      <c r="BA26" s="26"/>
      <c r="BB26" s="26"/>
      <c r="BC26" s="26"/>
      <c r="BD26" s="26"/>
      <c r="BE26" s="26"/>
      <c r="BF26" s="26"/>
    </row>
    <row r="27" spans="1:58" x14ac:dyDescent="0.3">
      <c r="A27" s="53"/>
      <c r="B27" s="34"/>
      <c r="C27" s="76">
        <v>200</v>
      </c>
      <c r="D27" s="33">
        <f>IF($D$9="RECT",'Coeff+Calc'!$K12,'Coeff+Calc'!$M72)</f>
        <v>2.6881060136186674</v>
      </c>
      <c r="E27" s="70">
        <f>IF($D$9="RECT",'Coeff+Calc'!$K42,'Coeff+Calc'!$M102)</f>
        <v>9.8163907722345112</v>
      </c>
      <c r="F27" s="44">
        <f>IF($D$9="RECT",MIN('Coeff+Calc'!$O12,'Coeff+Calc'!$O42),MIN('Coeff+Calc'!$S72,'Coeff+Calc'!$S102))</f>
        <v>2.3934577232239223</v>
      </c>
      <c r="G27" s="44">
        <f>IF($D$9="RECT",MAX('Coeff+Calc'!$Q12,'Coeff+Calc'!$Q42),MAX('Coeff+Calc'!$U72,'Coeff+Calc'!$U102))</f>
        <v>12.695778632047329</v>
      </c>
      <c r="H27" s="35"/>
      <c r="I27" s="35"/>
      <c r="J27" s="52"/>
      <c r="K27" s="35"/>
      <c r="L27" s="34"/>
      <c r="M27" s="44"/>
      <c r="N27" s="34"/>
      <c r="O27" s="34"/>
      <c r="P27" s="34"/>
      <c r="Q27" s="35"/>
      <c r="R27" s="26"/>
      <c r="S27" s="26"/>
      <c r="T27" s="26"/>
      <c r="U27" s="26"/>
      <c r="V27" s="26"/>
      <c r="W27" s="26"/>
      <c r="X27" s="26"/>
      <c r="Y27" s="26"/>
      <c r="Z27" s="26"/>
      <c r="AA27" s="26"/>
      <c r="AB27" s="26"/>
      <c r="AC27" s="26"/>
      <c r="AD27" s="26"/>
      <c r="AE27" s="26"/>
      <c r="AF27" s="26"/>
      <c r="AG27" s="26"/>
      <c r="AH27" s="26"/>
      <c r="AI27" s="26"/>
      <c r="AJ27" s="26"/>
      <c r="AK27" s="26"/>
      <c r="AL27" s="26"/>
      <c r="AM27" s="26"/>
      <c r="AN27" s="26"/>
      <c r="AO27" s="26"/>
      <c r="AP27" s="26"/>
      <c r="AQ27" s="26"/>
      <c r="AR27" s="26"/>
      <c r="AS27" s="26"/>
      <c r="AT27" s="26"/>
      <c r="AU27" s="26"/>
      <c r="AV27" s="26"/>
      <c r="AW27" s="26"/>
      <c r="AX27" s="26"/>
      <c r="AY27" s="26"/>
      <c r="AZ27" s="26"/>
      <c r="BA27" s="26"/>
      <c r="BB27" s="26"/>
      <c r="BC27" s="26"/>
      <c r="BD27" s="26"/>
      <c r="BE27" s="26"/>
      <c r="BF27" s="26"/>
    </row>
    <row r="28" spans="1:58" x14ac:dyDescent="0.3">
      <c r="A28" s="53"/>
      <c r="B28" s="34"/>
      <c r="C28" s="76">
        <v>250</v>
      </c>
      <c r="D28" s="33">
        <f>IF($D$9="RECT",'Coeff+Calc'!$K13,'Coeff+Calc'!$M73)</f>
        <v>4.4119520840142412</v>
      </c>
      <c r="E28" s="70">
        <f>IF($D$9="RECT",'Coeff+Calc'!$K43,'Coeff+Calc'!$M103)</f>
        <v>14.509321808450697</v>
      </c>
      <c r="F28" s="44">
        <f>IF($D$9="RECT",MIN('Coeff+Calc'!$O13,'Coeff+Calc'!$O43),MIN('Coeff+Calc'!$S73,'Coeff+Calc'!$S103))</f>
        <v>4.0058338257825037</v>
      </c>
      <c r="G28" s="44">
        <f>IF($D$9="RECT",MAX('Coeff+Calc'!$Q13,'Coeff+Calc'!$Q43),MAX('Coeff+Calc'!$U73,'Coeff+Calc'!$U103))</f>
        <v>18.92360594582976</v>
      </c>
      <c r="H28" s="35"/>
      <c r="I28" s="35"/>
      <c r="J28" s="52"/>
      <c r="K28" s="35"/>
      <c r="L28" s="34"/>
      <c r="M28" s="44"/>
      <c r="N28" s="34"/>
      <c r="O28" s="34"/>
      <c r="P28" s="34"/>
      <c r="Q28" s="35"/>
      <c r="R28" s="26"/>
      <c r="S28" s="26"/>
      <c r="T28" s="26"/>
      <c r="U28" s="26"/>
      <c r="V28" s="26"/>
      <c r="W28" s="26"/>
      <c r="X28" s="26"/>
      <c r="Y28" s="26"/>
      <c r="Z28" s="26"/>
      <c r="AA28" s="26"/>
      <c r="AB28" s="26"/>
      <c r="AC28" s="26"/>
      <c r="AD28" s="26"/>
      <c r="AE28" s="26"/>
      <c r="AF28" s="26"/>
      <c r="AG28" s="26"/>
      <c r="AH28" s="26"/>
      <c r="AI28" s="26"/>
      <c r="AJ28" s="26"/>
      <c r="AK28" s="26"/>
      <c r="AL28" s="26"/>
      <c r="AM28" s="26"/>
      <c r="AN28" s="26"/>
      <c r="AO28" s="26"/>
      <c r="AP28" s="26"/>
      <c r="AQ28" s="26"/>
      <c r="AR28" s="26"/>
      <c r="AS28" s="26"/>
      <c r="AT28" s="26"/>
      <c r="AU28" s="26"/>
      <c r="AV28" s="26"/>
      <c r="AW28" s="26"/>
      <c r="AX28" s="26"/>
      <c r="AY28" s="26"/>
      <c r="AZ28" s="26"/>
      <c r="BA28" s="26"/>
      <c r="BB28" s="26"/>
      <c r="BC28" s="26"/>
      <c r="BD28" s="26"/>
      <c r="BE28" s="26"/>
      <c r="BF28" s="26"/>
    </row>
    <row r="29" spans="1:58" x14ac:dyDescent="0.3">
      <c r="A29" s="53"/>
      <c r="B29" s="81"/>
      <c r="C29" s="76">
        <v>315</v>
      </c>
      <c r="D29" s="33">
        <f>IF($D$9="RECT",'Coeff+Calc'!$K14,'Coeff+Calc'!$M74)</f>
        <v>6.9807165117019885</v>
      </c>
      <c r="E29" s="70">
        <f>IF($D$9="RECT",'Coeff+Calc'!$K44,'Coeff+Calc'!$M104)</f>
        <v>21.71621931296287</v>
      </c>
      <c r="F29" s="44">
        <f>IF($D$9="RECT",MIN('Coeff+Calc'!$O14,'Coeff+Calc'!$O44),MIN('Coeff+Calc'!$S74,'Coeff+Calc'!$S104))</f>
        <v>5.8727932345450418</v>
      </c>
      <c r="G29" s="44">
        <f>IF($D$9="RECT",MAX('Coeff+Calc'!$Q14,'Coeff+Calc'!$Q44),MAX('Coeff+Calc'!$U74,'Coeff+Calc'!$U104))</f>
        <v>27.362361392217124</v>
      </c>
      <c r="H29" s="35"/>
      <c r="I29" s="35"/>
      <c r="J29" s="52"/>
      <c r="K29" s="35"/>
      <c r="L29" s="34"/>
      <c r="M29" s="44"/>
      <c r="N29" s="34"/>
      <c r="O29" s="34"/>
      <c r="P29" s="34"/>
      <c r="Q29" s="35"/>
      <c r="R29" s="26"/>
      <c r="S29" s="26"/>
      <c r="T29" s="26"/>
      <c r="U29" s="26"/>
      <c r="V29" s="26"/>
      <c r="W29" s="26"/>
      <c r="X29" s="26"/>
      <c r="Y29" s="26"/>
      <c r="Z29" s="26"/>
      <c r="AA29" s="26"/>
      <c r="AB29" s="26"/>
      <c r="AC29" s="26"/>
      <c r="AD29" s="26"/>
      <c r="AE29" s="26"/>
      <c r="AF29" s="26"/>
      <c r="AG29" s="26"/>
      <c r="AH29" s="26"/>
      <c r="AI29" s="26"/>
      <c r="AJ29" s="26"/>
      <c r="AK29" s="26"/>
      <c r="AL29" s="26"/>
      <c r="AM29" s="26"/>
      <c r="AN29" s="26"/>
      <c r="AO29" s="26"/>
      <c r="AP29" s="26"/>
      <c r="AQ29" s="26"/>
      <c r="AR29" s="26"/>
      <c r="AS29" s="26"/>
      <c r="AT29" s="26"/>
      <c r="AU29" s="26"/>
      <c r="AV29" s="26"/>
      <c r="AW29" s="26"/>
      <c r="AX29" s="26"/>
      <c r="AY29" s="26"/>
      <c r="AZ29" s="26"/>
      <c r="BA29" s="26"/>
      <c r="BB29" s="26"/>
      <c r="BC29" s="26"/>
      <c r="BD29" s="26"/>
      <c r="BE29" s="26"/>
      <c r="BF29" s="26"/>
    </row>
    <row r="30" spans="1:58" x14ac:dyDescent="0.3">
      <c r="A30" s="53"/>
      <c r="B30" s="34"/>
      <c r="C30" s="76">
        <v>400</v>
      </c>
      <c r="D30" s="33">
        <f>IF($D$9="RECT",'Coeff+Calc'!$K15,'Coeff+Calc'!$M75)</f>
        <v>12.048140173771447</v>
      </c>
      <c r="E30" s="70">
        <f>IF($D$9="RECT",'Coeff+Calc'!$K45,'Coeff+Calc'!$M105)</f>
        <v>32.178954093981694</v>
      </c>
      <c r="F30" s="44">
        <f>IF($D$9="RECT",MIN('Coeff+Calc'!$O15,'Coeff+Calc'!$O45),MIN('Coeff+Calc'!$S75,'Coeff+Calc'!$S105))</f>
        <v>11.023114694603795</v>
      </c>
      <c r="G30" s="44">
        <f>IF($D$9="RECT",MAX('Coeff+Calc'!$Q15,'Coeff+Calc'!$Q45),MAX('Coeff+Calc'!$U75,'Coeff+Calc'!$U105))</f>
        <v>35.335668990009282</v>
      </c>
      <c r="H30" s="35"/>
      <c r="I30" s="35"/>
      <c r="J30" s="52"/>
      <c r="K30" s="35"/>
      <c r="L30" s="34"/>
      <c r="M30" s="44"/>
      <c r="N30" s="34"/>
      <c r="O30" s="34"/>
      <c r="P30" s="34"/>
      <c r="Q30" s="35"/>
      <c r="R30" s="26"/>
      <c r="S30" s="26"/>
      <c r="T30" s="26"/>
      <c r="U30" s="26"/>
      <c r="V30" s="26"/>
      <c r="W30" s="26"/>
      <c r="X30" s="26"/>
      <c r="Y30" s="26"/>
      <c r="Z30" s="26"/>
      <c r="AA30" s="26"/>
      <c r="AB30" s="26"/>
      <c r="AC30" s="26"/>
      <c r="AD30" s="26"/>
      <c r="AE30" s="26"/>
      <c r="AF30" s="26"/>
      <c r="AG30" s="26"/>
      <c r="AH30" s="26"/>
      <c r="AI30" s="26"/>
      <c r="AJ30" s="26"/>
      <c r="AK30" s="26"/>
      <c r="AL30" s="26"/>
      <c r="AM30" s="26"/>
      <c r="AN30" s="26"/>
      <c r="AO30" s="26"/>
      <c r="AP30" s="26"/>
      <c r="AQ30" s="26"/>
      <c r="AR30" s="26"/>
      <c r="AS30" s="26"/>
      <c r="AT30" s="26"/>
      <c r="AU30" s="26"/>
      <c r="AV30" s="26"/>
      <c r="AW30" s="26"/>
      <c r="AX30" s="26"/>
      <c r="AY30" s="26"/>
      <c r="AZ30" s="26"/>
      <c r="BA30" s="26"/>
      <c r="BB30" s="26"/>
      <c r="BC30" s="26"/>
      <c r="BD30" s="26"/>
      <c r="BE30" s="26"/>
      <c r="BF30" s="26"/>
    </row>
    <row r="31" spans="1:58" x14ac:dyDescent="0.3">
      <c r="A31" s="53"/>
      <c r="B31" s="34"/>
      <c r="C31" s="76">
        <v>500</v>
      </c>
      <c r="D31" s="33">
        <f>IF($D$9="RECT",'Coeff+Calc'!$K16,'Coeff+Calc'!$M76)</f>
        <v>19.048131940841003</v>
      </c>
      <c r="E31" s="70">
        <f>IF($D$9="RECT",'Coeff+Calc'!$K46,'Coeff+Calc'!$M106)</f>
        <v>40.735218568421416</v>
      </c>
      <c r="F31" s="44">
        <f>IF($D$9="RECT",MIN('Coeff+Calc'!$O16,'Coeff+Calc'!$O46),MIN('Coeff+Calc'!$S76,'Coeff+Calc'!$S106))</f>
        <v>15.747251673738507</v>
      </c>
      <c r="G31" s="44">
        <f>IF($D$9="RECT",MAX('Coeff+Calc'!$Q16,'Coeff+Calc'!$Q46),MAX('Coeff+Calc'!$U76,'Coeff+Calc'!$U106))</f>
        <v>45.812003966840834</v>
      </c>
      <c r="H31" s="35"/>
      <c r="I31" s="35"/>
      <c r="J31" s="52"/>
      <c r="K31" s="35"/>
      <c r="L31" s="34"/>
      <c r="M31" s="44"/>
      <c r="N31" s="34"/>
      <c r="O31" s="34"/>
      <c r="P31" s="34"/>
      <c r="Q31" s="35"/>
      <c r="R31" s="26"/>
      <c r="S31" s="26"/>
      <c r="T31" s="26"/>
      <c r="U31" s="26"/>
      <c r="V31" s="26"/>
      <c r="W31" s="26"/>
      <c r="X31" s="26"/>
      <c r="Y31" s="26"/>
      <c r="Z31" s="26"/>
      <c r="AA31" s="26"/>
      <c r="AB31" s="26"/>
      <c r="AC31" s="26"/>
      <c r="AD31" s="26"/>
      <c r="AE31" s="26"/>
      <c r="AF31" s="26"/>
      <c r="AG31" s="26"/>
      <c r="AH31" s="26"/>
      <c r="AI31" s="26"/>
      <c r="AJ31" s="26"/>
      <c r="AK31" s="26"/>
      <c r="AL31" s="26"/>
      <c r="AM31" s="26"/>
      <c r="AN31" s="26"/>
      <c r="AO31" s="26"/>
      <c r="AP31" s="26"/>
      <c r="AQ31" s="26"/>
      <c r="AR31" s="26"/>
      <c r="AS31" s="26"/>
      <c r="AT31" s="26"/>
      <c r="AU31" s="26"/>
      <c r="AV31" s="26"/>
      <c r="AW31" s="26"/>
      <c r="AX31" s="26"/>
      <c r="AY31" s="26"/>
      <c r="AZ31" s="26"/>
      <c r="BA31" s="26"/>
      <c r="BB31" s="26"/>
      <c r="BC31" s="26"/>
      <c r="BD31" s="26"/>
      <c r="BE31" s="26"/>
      <c r="BF31" s="26"/>
    </row>
    <row r="32" spans="1:58" x14ac:dyDescent="0.3">
      <c r="A32" s="53"/>
      <c r="B32" s="34"/>
      <c r="C32" s="76">
        <v>630</v>
      </c>
      <c r="D32" s="33">
        <f>IF($D$9="RECT",'Coeff+Calc'!$K17,'Coeff+Calc'!$M77)</f>
        <v>28.361808651272629</v>
      </c>
      <c r="E32" s="70">
        <f>IF($D$9="RECT",'Coeff+Calc'!$K47,'Coeff+Calc'!$M107)</f>
        <v>39.274125900661318</v>
      </c>
      <c r="F32" s="44">
        <f>IF($D$9="RECT",MIN('Coeff+Calc'!$O17,'Coeff+Calc'!$O47),MIN('Coeff+Calc'!$S77,'Coeff+Calc'!$S107))</f>
        <v>25.687343209291814</v>
      </c>
      <c r="G32" s="44">
        <f>IF($D$9="RECT",MAX('Coeff+Calc'!$Q17,'Coeff+Calc'!$Q47),MAX('Coeff+Calc'!$U77,'Coeff+Calc'!$U107))</f>
        <v>46.370928299988648</v>
      </c>
      <c r="H32" s="35"/>
      <c r="I32" s="35"/>
      <c r="J32" s="52"/>
      <c r="K32" s="35"/>
      <c r="L32" s="34"/>
      <c r="M32" s="44"/>
      <c r="N32" s="34"/>
      <c r="O32" s="34"/>
      <c r="P32" s="34"/>
      <c r="Q32" s="35"/>
      <c r="R32" s="26"/>
      <c r="S32" s="26"/>
      <c r="T32" s="26"/>
      <c r="U32" s="26"/>
      <c r="V32" s="26"/>
      <c r="W32" s="26"/>
      <c r="X32" s="26"/>
      <c r="Y32" s="26"/>
      <c r="Z32" s="26"/>
      <c r="AA32" s="26"/>
      <c r="AB32" s="26"/>
      <c r="AC32" s="26"/>
      <c r="AD32" s="26"/>
      <c r="AE32" s="26"/>
      <c r="AF32" s="26"/>
      <c r="AG32" s="26"/>
      <c r="AH32" s="26"/>
      <c r="AI32" s="26"/>
      <c r="AJ32" s="26"/>
      <c r="AK32" s="26"/>
      <c r="AL32" s="26"/>
      <c r="AM32" s="26"/>
      <c r="AN32" s="26"/>
      <c r="AO32" s="26"/>
      <c r="AP32" s="26"/>
      <c r="AQ32" s="26"/>
      <c r="AR32" s="26"/>
      <c r="AS32" s="26"/>
      <c r="AT32" s="26"/>
      <c r="AU32" s="26"/>
      <c r="AV32" s="26"/>
      <c r="AW32" s="26"/>
      <c r="AX32" s="26"/>
      <c r="AY32" s="26"/>
      <c r="AZ32" s="26"/>
      <c r="BA32" s="26"/>
      <c r="BB32" s="26"/>
      <c r="BC32" s="26"/>
      <c r="BD32" s="26"/>
      <c r="BE32" s="26"/>
      <c r="BF32" s="26"/>
    </row>
    <row r="33" spans="1:58" x14ac:dyDescent="0.3">
      <c r="A33" s="53"/>
      <c r="B33" s="34"/>
      <c r="C33" s="76">
        <v>800</v>
      </c>
      <c r="D33" s="33">
        <f>IF($D$9="RECT",'Coeff+Calc'!$K18,'Coeff+Calc'!$M78)</f>
        <v>32.073728143234874</v>
      </c>
      <c r="E33" s="70">
        <f>IF($D$9="RECT",'Coeff+Calc'!$K48,'Coeff+Calc'!$M108)</f>
        <v>36.5129101085492</v>
      </c>
      <c r="F33" s="44">
        <f>IF($D$9="RECT",MIN('Coeff+Calc'!$O18,'Coeff+Calc'!$O48),MIN('Coeff+Calc'!$S78,'Coeff+Calc'!$S108))</f>
        <v>26.98300182422707</v>
      </c>
      <c r="G33" s="44">
        <f>IF($D$9="RECT",MAX('Coeff+Calc'!$Q18,'Coeff+Calc'!$Q48),MAX('Coeff+Calc'!$U78,'Coeff+Calc'!$U108))</f>
        <v>46.019662210050981</v>
      </c>
      <c r="H33" s="35"/>
      <c r="I33" s="35"/>
      <c r="J33" s="52"/>
      <c r="K33" s="35"/>
      <c r="L33" s="34"/>
      <c r="M33" s="44"/>
      <c r="N33" s="34"/>
      <c r="O33" s="34"/>
      <c r="P33" s="34"/>
      <c r="Q33" s="35"/>
      <c r="R33" s="26"/>
      <c r="S33" s="26"/>
      <c r="T33" s="26"/>
      <c r="U33" s="26"/>
      <c r="V33" s="26"/>
      <c r="W33" s="26"/>
      <c r="X33" s="26"/>
      <c r="Y33" s="26"/>
      <c r="Z33" s="26"/>
      <c r="AA33" s="26"/>
      <c r="AB33" s="26"/>
      <c r="AC33" s="26"/>
      <c r="AD33" s="26"/>
      <c r="AE33" s="26"/>
      <c r="AF33" s="26"/>
      <c r="AG33" s="26"/>
      <c r="AH33" s="26"/>
      <c r="AI33" s="26"/>
      <c r="AJ33" s="26"/>
      <c r="AK33" s="26"/>
      <c r="AL33" s="26"/>
      <c r="AM33" s="26"/>
      <c r="AN33" s="26"/>
      <c r="AO33" s="26"/>
      <c r="AP33" s="26"/>
      <c r="AQ33" s="26"/>
      <c r="AR33" s="26"/>
      <c r="AS33" s="26"/>
      <c r="AT33" s="26"/>
      <c r="AU33" s="26"/>
      <c r="AV33" s="26"/>
      <c r="AW33" s="26"/>
      <c r="AX33" s="26"/>
      <c r="AY33" s="26"/>
      <c r="AZ33" s="26"/>
      <c r="BA33" s="26"/>
      <c r="BB33" s="26"/>
      <c r="BC33" s="26"/>
      <c r="BD33" s="26"/>
      <c r="BE33" s="26"/>
      <c r="BF33" s="26"/>
    </row>
    <row r="34" spans="1:58" x14ac:dyDescent="0.3">
      <c r="A34" s="53"/>
      <c r="B34" s="34"/>
      <c r="C34" s="76">
        <v>1000</v>
      </c>
      <c r="D34" s="33">
        <f>IF($D$9="RECT",'Coeff+Calc'!$K19,'Coeff+Calc'!$M79)</f>
        <v>28.790654133668856</v>
      </c>
      <c r="E34" s="70">
        <f>IF($D$9="RECT",'Coeff+Calc'!$K49,'Coeff+Calc'!$M109)</f>
        <v>24.368032360043188</v>
      </c>
      <c r="F34" s="44">
        <f>IF($D$9="RECT",MIN('Coeff+Calc'!$O19,'Coeff+Calc'!$O49),MIN('Coeff+Calc'!$S79,'Coeff+Calc'!$S109))</f>
        <v>19.02426719339865</v>
      </c>
      <c r="G34" s="44">
        <f>IF($D$9="RECT",MAX('Coeff+Calc'!$Q19,'Coeff+Calc'!$Q49),MAX('Coeff+Calc'!$U79,'Coeff+Calc'!$U109))</f>
        <v>33.232953804485689</v>
      </c>
      <c r="H34" s="35"/>
      <c r="I34" s="35"/>
      <c r="J34" s="52"/>
      <c r="K34" s="35"/>
      <c r="L34" s="34"/>
      <c r="M34" s="44"/>
      <c r="N34" s="34"/>
      <c r="O34" s="34"/>
      <c r="P34" s="34"/>
      <c r="Q34" s="35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6"/>
      <c r="AC34" s="26"/>
      <c r="AD34" s="26"/>
      <c r="AE34" s="26"/>
      <c r="AF34" s="26"/>
      <c r="AG34" s="26"/>
      <c r="AH34" s="26"/>
      <c r="AI34" s="26"/>
      <c r="AJ34" s="26"/>
      <c r="AK34" s="26"/>
      <c r="AL34" s="26"/>
      <c r="AM34" s="26"/>
      <c r="AN34" s="26"/>
      <c r="AO34" s="26"/>
      <c r="AP34" s="26"/>
      <c r="AQ34" s="26"/>
      <c r="AR34" s="26"/>
      <c r="AS34" s="26"/>
      <c r="AT34" s="26"/>
      <c r="AU34" s="26"/>
      <c r="AV34" s="26"/>
      <c r="AW34" s="26"/>
      <c r="AX34" s="26"/>
      <c r="AY34" s="26"/>
      <c r="AZ34" s="26"/>
      <c r="BA34" s="26"/>
      <c r="BB34" s="26"/>
      <c r="BC34" s="26"/>
      <c r="BD34" s="26"/>
      <c r="BE34" s="26"/>
      <c r="BF34" s="26"/>
    </row>
    <row r="35" spans="1:58" x14ac:dyDescent="0.3">
      <c r="A35" s="53"/>
      <c r="B35" s="34"/>
      <c r="C35" s="76">
        <v>1250</v>
      </c>
      <c r="D35" s="33">
        <f>IF($D$9="RECT",'Coeff+Calc'!$K20,'Coeff+Calc'!$M80)</f>
        <v>24.069463739433566</v>
      </c>
      <c r="E35" s="70">
        <f>IF($D$9="RECT",'Coeff+Calc'!$K50,'Coeff+Calc'!$M110)</f>
        <v>16.447720039576708</v>
      </c>
      <c r="F35" s="44">
        <f>IF($D$9="RECT",MIN('Coeff+Calc'!$O20,'Coeff+Calc'!$O50),MIN('Coeff+Calc'!$S80,'Coeff+Calc'!$S110))</f>
        <v>13.089721754070801</v>
      </c>
      <c r="G35" s="44">
        <f>IF($D$9="RECT",MAX('Coeff+Calc'!$Q20,'Coeff+Calc'!$Q50),MAX('Coeff+Calc'!$U80,'Coeff+Calc'!$U110))</f>
        <v>29.626873820090445</v>
      </c>
      <c r="H35" s="35"/>
      <c r="I35" s="35"/>
      <c r="J35" s="52"/>
      <c r="K35" s="35"/>
      <c r="L35" s="34"/>
      <c r="M35" s="44"/>
      <c r="N35" s="34"/>
      <c r="O35" s="34"/>
      <c r="P35" s="34"/>
      <c r="Q35" s="35"/>
      <c r="R35" s="26"/>
      <c r="S35" s="26"/>
      <c r="T35" s="26"/>
      <c r="U35" s="26"/>
      <c r="V35" s="26"/>
      <c r="W35" s="26"/>
      <c r="X35" s="26"/>
      <c r="Y35" s="26"/>
      <c r="Z35" s="26"/>
      <c r="AA35" s="26"/>
      <c r="AB35" s="26"/>
      <c r="AC35" s="26"/>
      <c r="AD35" s="26"/>
      <c r="AE35" s="26"/>
      <c r="AF35" s="26"/>
      <c r="AG35" s="26"/>
      <c r="AH35" s="26"/>
      <c r="AI35" s="26"/>
      <c r="AJ35" s="26"/>
      <c r="AK35" s="26"/>
      <c r="AL35" s="26"/>
      <c r="AM35" s="26"/>
      <c r="AN35" s="26"/>
      <c r="AO35" s="26"/>
      <c r="AP35" s="26"/>
      <c r="AQ35" s="26"/>
      <c r="AR35" s="26"/>
      <c r="AS35" s="26"/>
      <c r="AT35" s="26"/>
      <c r="AU35" s="26"/>
      <c r="AV35" s="26"/>
      <c r="AW35" s="26"/>
      <c r="AX35" s="26"/>
      <c r="AY35" s="26"/>
      <c r="AZ35" s="26"/>
      <c r="BA35" s="26"/>
      <c r="BB35" s="26"/>
      <c r="BC35" s="26"/>
      <c r="BD35" s="26"/>
      <c r="BE35" s="26"/>
      <c r="BF35" s="26"/>
    </row>
    <row r="36" spans="1:58" x14ac:dyDescent="0.3">
      <c r="A36" s="53"/>
      <c r="B36" s="34"/>
      <c r="C36" s="76">
        <v>1600</v>
      </c>
      <c r="D36" s="33">
        <f>IF($D$9="RECT",'Coeff+Calc'!$K21,'Coeff+Calc'!$M81)</f>
        <v>16.129428976202146</v>
      </c>
      <c r="E36" s="70">
        <f>IF($D$9="RECT",'Coeff+Calc'!$K51,'Coeff+Calc'!$M111)</f>
        <v>14.080339522329741</v>
      </c>
      <c r="F36" s="44">
        <f>IF($D$9="RECT",MIN('Coeff+Calc'!$O21,'Coeff+Calc'!$O51),MIN('Coeff+Calc'!$S81,'Coeff+Calc'!$S111))</f>
        <v>8.8549966559956523</v>
      </c>
      <c r="G36" s="44">
        <f>IF($D$9="RECT",MAX('Coeff+Calc'!$Q21,'Coeff+Calc'!$Q51),MAX('Coeff+Calc'!$U81,'Coeff+Calc'!$U111))</f>
        <v>20.166851619169702</v>
      </c>
      <c r="H36" s="35"/>
      <c r="I36" s="35"/>
      <c r="J36" s="52"/>
      <c r="K36" s="35"/>
      <c r="L36" s="34"/>
      <c r="M36" s="44"/>
      <c r="N36" s="34"/>
      <c r="O36" s="34"/>
      <c r="P36" s="34"/>
      <c r="Q36" s="35"/>
      <c r="R36" s="26"/>
      <c r="S36" s="26"/>
      <c r="T36" s="26"/>
      <c r="U36" s="26"/>
      <c r="V36" s="26"/>
      <c r="W36" s="26"/>
      <c r="X36" s="26"/>
      <c r="Y36" s="26"/>
      <c r="Z36" s="26"/>
      <c r="AA36" s="26"/>
      <c r="AB36" s="26"/>
      <c r="AC36" s="26"/>
      <c r="AD36" s="26"/>
      <c r="AE36" s="26"/>
      <c r="AF36" s="26"/>
      <c r="AG36" s="26"/>
      <c r="AH36" s="26"/>
      <c r="AI36" s="26"/>
      <c r="AJ36" s="26"/>
      <c r="AK36" s="26"/>
      <c r="AL36" s="26"/>
      <c r="AM36" s="26"/>
      <c r="AN36" s="26"/>
      <c r="AO36" s="26"/>
      <c r="AP36" s="26"/>
      <c r="AQ36" s="26"/>
      <c r="AR36" s="26"/>
      <c r="AS36" s="26"/>
      <c r="AT36" s="26"/>
      <c r="AU36" s="26"/>
      <c r="AV36" s="26"/>
      <c r="AW36" s="26"/>
      <c r="AX36" s="26"/>
      <c r="AY36" s="26"/>
      <c r="AZ36" s="26"/>
      <c r="BA36" s="26"/>
      <c r="BB36" s="26"/>
      <c r="BC36" s="26"/>
      <c r="BD36" s="26"/>
      <c r="BE36" s="26"/>
      <c r="BF36" s="26"/>
    </row>
    <row r="37" spans="1:58" x14ac:dyDescent="0.3">
      <c r="A37" s="53"/>
      <c r="B37" s="34"/>
      <c r="C37" s="76">
        <v>2000</v>
      </c>
      <c r="D37" s="33">
        <f>IF($D$9="RECT",'Coeff+Calc'!$K22,'Coeff+Calc'!$M82)</f>
        <v>12.610038719089884</v>
      </c>
      <c r="E37" s="70">
        <f>IF($D$9="RECT",'Coeff+Calc'!$K52,'Coeff+Calc'!$M112)</f>
        <v>11.574472807090036</v>
      </c>
      <c r="F37" s="44">
        <f>IF($D$9="RECT",MIN('Coeff+Calc'!$O22,'Coeff+Calc'!$O52),MIN('Coeff+Calc'!$S82,'Coeff+Calc'!$S112))</f>
        <v>7.6544292200473256</v>
      </c>
      <c r="G37" s="44">
        <f>IF($D$9="RECT",MAX('Coeff+Calc'!$Q22,'Coeff+Calc'!$Q52),MAX('Coeff+Calc'!$U82,'Coeff+Calc'!$U112))</f>
        <v>15.545691985238474</v>
      </c>
      <c r="H37" s="35"/>
      <c r="I37" s="35"/>
      <c r="J37" s="52"/>
      <c r="K37" s="35"/>
      <c r="L37" s="34"/>
      <c r="M37" s="44"/>
      <c r="N37" s="34"/>
      <c r="O37" s="34"/>
      <c r="P37" s="34"/>
      <c r="Q37" s="35"/>
      <c r="R37" s="26"/>
      <c r="S37" s="26"/>
      <c r="T37" s="26"/>
      <c r="U37" s="26"/>
      <c r="V37" s="26"/>
      <c r="W37" s="26"/>
      <c r="X37" s="26"/>
      <c r="Y37" s="26"/>
      <c r="Z37" s="26"/>
      <c r="AA37" s="26"/>
      <c r="AB37" s="26"/>
      <c r="AC37" s="26"/>
      <c r="AD37" s="26"/>
      <c r="AE37" s="26"/>
      <c r="AF37" s="26"/>
      <c r="AG37" s="26"/>
      <c r="AH37" s="26"/>
      <c r="AI37" s="26"/>
      <c r="AJ37" s="26"/>
      <c r="AK37" s="26"/>
      <c r="AL37" s="26"/>
      <c r="AM37" s="26"/>
      <c r="AN37" s="26"/>
      <c r="AO37" s="26"/>
      <c r="AP37" s="26"/>
      <c r="AQ37" s="26"/>
      <c r="AR37" s="26"/>
      <c r="AS37" s="26"/>
      <c r="AT37" s="26"/>
      <c r="AU37" s="26"/>
      <c r="AV37" s="26"/>
      <c r="AW37" s="26"/>
      <c r="AX37" s="26"/>
      <c r="AY37" s="26"/>
      <c r="AZ37" s="26"/>
      <c r="BA37" s="26"/>
      <c r="BB37" s="26"/>
      <c r="BC37" s="26"/>
      <c r="BD37" s="26"/>
      <c r="BE37" s="26"/>
      <c r="BF37" s="26"/>
    </row>
    <row r="38" spans="1:58" x14ac:dyDescent="0.3">
      <c r="A38" s="53"/>
      <c r="B38" s="34"/>
      <c r="C38" s="76">
        <v>2500</v>
      </c>
      <c r="D38" s="33">
        <f>IF($D$9="RECT",'Coeff+Calc'!$K23,'Coeff+Calc'!$M83)</f>
        <v>10.492731366317788</v>
      </c>
      <c r="E38" s="70">
        <f>IF($D$9="RECT",'Coeff+Calc'!$K53,'Coeff+Calc'!$M113)</f>
        <v>10.142423839245826</v>
      </c>
      <c r="F38" s="44">
        <f>IF($D$9="RECT",MIN('Coeff+Calc'!$O23,'Coeff+Calc'!$O53),MIN('Coeff+Calc'!$S83,'Coeff+Calc'!$S113))</f>
        <v>6.8244006250134124</v>
      </c>
      <c r="G38" s="44">
        <f>IF($D$9="RECT",MAX('Coeff+Calc'!$Q23,'Coeff+Calc'!$Q53),MAX('Coeff+Calc'!$U83,'Coeff+Calc'!$U113))</f>
        <v>13.673588026015379</v>
      </c>
      <c r="H38" s="35"/>
      <c r="I38" s="35"/>
      <c r="J38" s="52"/>
      <c r="K38" s="35"/>
      <c r="L38" s="34"/>
      <c r="M38" s="44"/>
      <c r="N38" s="34"/>
      <c r="O38" s="34"/>
      <c r="P38" s="34"/>
      <c r="Q38" s="35"/>
      <c r="R38" s="26"/>
      <c r="S38" s="26"/>
      <c r="T38" s="26"/>
      <c r="U38" s="26"/>
      <c r="V38" s="26"/>
      <c r="W38" s="26"/>
      <c r="X38" s="26"/>
      <c r="Y38" s="26"/>
      <c r="Z38" s="26"/>
      <c r="AA38" s="26"/>
      <c r="AB38" s="26"/>
      <c r="AC38" s="26"/>
      <c r="AD38" s="26"/>
      <c r="AE38" s="26"/>
      <c r="AF38" s="26"/>
      <c r="AG38" s="26"/>
      <c r="AH38" s="26"/>
      <c r="AI38" s="26"/>
      <c r="AJ38" s="26"/>
      <c r="AK38" s="26"/>
      <c r="AL38" s="26"/>
      <c r="AM38" s="26"/>
      <c r="AN38" s="26"/>
      <c r="AO38" s="26"/>
      <c r="AP38" s="26"/>
      <c r="AQ38" s="26"/>
      <c r="AR38" s="26"/>
      <c r="AS38" s="26"/>
      <c r="AT38" s="26"/>
      <c r="AU38" s="26"/>
      <c r="AV38" s="26"/>
      <c r="AW38" s="26"/>
      <c r="AX38" s="26"/>
      <c r="AY38" s="26"/>
      <c r="AZ38" s="26"/>
      <c r="BA38" s="26"/>
      <c r="BB38" s="26"/>
      <c r="BC38" s="26"/>
      <c r="BD38" s="26"/>
      <c r="BE38" s="26"/>
      <c r="BF38" s="26"/>
    </row>
    <row r="39" spans="1:58" x14ac:dyDescent="0.3">
      <c r="A39" s="53"/>
      <c r="B39" s="34"/>
      <c r="C39" s="76">
        <v>3150</v>
      </c>
      <c r="D39" s="33">
        <f>IF($D$9="RECT",'Coeff+Calc'!$K24,'Coeff+Calc'!$M84)</f>
        <v>9.8344166798232742</v>
      </c>
      <c r="E39" s="70">
        <f>IF($D$9="RECT",'Coeff+Calc'!$K54,'Coeff+Calc'!$M114)</f>
        <v>9.8776470497016842</v>
      </c>
      <c r="F39" s="44">
        <f>IF($D$9="RECT",MIN('Coeff+Calc'!$O24,'Coeff+Calc'!$O54),MIN('Coeff+Calc'!$S84,'Coeff+Calc'!$S114))</f>
        <v>5.8647932271220746</v>
      </c>
      <c r="G39" s="44">
        <f>IF($D$9="RECT",MAX('Coeff+Calc'!$Q24,'Coeff+Calc'!$Q54),MAX('Coeff+Calc'!$U84,'Coeff+Calc'!$U114))</f>
        <v>13.890500872281294</v>
      </c>
      <c r="H39" s="35"/>
      <c r="I39" s="35"/>
      <c r="J39" s="52"/>
      <c r="K39" s="35"/>
      <c r="L39" s="34"/>
      <c r="M39" s="44"/>
      <c r="N39" s="34"/>
      <c r="O39" s="34"/>
      <c r="P39" s="34"/>
      <c r="Q39" s="35"/>
      <c r="R39" s="26"/>
      <c r="S39" s="26"/>
      <c r="T39" s="26"/>
      <c r="U39" s="26"/>
      <c r="V39" s="26"/>
      <c r="W39" s="26"/>
      <c r="X39" s="26"/>
      <c r="Y39" s="26"/>
      <c r="Z39" s="26"/>
      <c r="AA39" s="26"/>
      <c r="AB39" s="26"/>
      <c r="AC39" s="26"/>
      <c r="AD39" s="26"/>
      <c r="AE39" s="26"/>
      <c r="AF39" s="26"/>
      <c r="AG39" s="26"/>
      <c r="AH39" s="26"/>
      <c r="AI39" s="26"/>
      <c r="AJ39" s="26"/>
      <c r="AK39" s="26"/>
      <c r="AL39" s="26"/>
      <c r="AM39" s="26"/>
      <c r="AN39" s="26"/>
      <c r="AO39" s="26"/>
      <c r="AP39" s="26"/>
      <c r="AQ39" s="26"/>
      <c r="AR39" s="26"/>
      <c r="AS39" s="26"/>
      <c r="AT39" s="26"/>
      <c r="AU39" s="26"/>
      <c r="AV39" s="26"/>
      <c r="AW39" s="26"/>
      <c r="AX39" s="26"/>
      <c r="AY39" s="26"/>
      <c r="AZ39" s="26"/>
      <c r="BA39" s="26"/>
      <c r="BB39" s="26"/>
      <c r="BC39" s="26"/>
      <c r="BD39" s="26"/>
      <c r="BE39" s="26"/>
      <c r="BF39" s="26"/>
    </row>
    <row r="40" spans="1:58" x14ac:dyDescent="0.3">
      <c r="A40" s="53"/>
      <c r="B40" s="34"/>
      <c r="C40" s="76">
        <v>4000</v>
      </c>
      <c r="D40" s="33">
        <f>IF($D$9="RECT",'Coeff+Calc'!$K25,'Coeff+Calc'!$M85)</f>
        <v>8.9426663092994882</v>
      </c>
      <c r="E40" s="70">
        <f>IF($D$9="RECT",'Coeff+Calc'!$K55,'Coeff+Calc'!$M115)</f>
        <v>9.6914262953464618</v>
      </c>
      <c r="F40" s="44">
        <f>IF($D$9="RECT",MIN('Coeff+Calc'!$O25,'Coeff+Calc'!$O55),MIN('Coeff+Calc'!$S85,'Coeff+Calc'!$S115))</f>
        <v>5.4559671716377878</v>
      </c>
      <c r="G40" s="44">
        <f>IF($D$9="RECT",MAX('Coeff+Calc'!$Q25,'Coeff+Calc'!$Q55),MAX('Coeff+Calc'!$U85,'Coeff+Calc'!$U115))</f>
        <v>13.926885419055136</v>
      </c>
      <c r="H40" s="35"/>
      <c r="I40" s="35"/>
      <c r="J40" s="52"/>
      <c r="K40" s="35"/>
      <c r="L40" s="34"/>
      <c r="M40" s="44"/>
      <c r="N40" s="34"/>
      <c r="O40" s="34"/>
      <c r="P40" s="34"/>
      <c r="Q40" s="35"/>
      <c r="R40" s="26"/>
      <c r="S40" s="26"/>
      <c r="T40" s="26"/>
      <c r="U40" s="26"/>
      <c r="V40" s="26"/>
      <c r="W40" s="26"/>
      <c r="X40" s="26"/>
      <c r="Y40" s="26"/>
      <c r="Z40" s="26"/>
      <c r="AA40" s="26"/>
      <c r="AB40" s="26"/>
      <c r="AC40" s="26"/>
      <c r="AD40" s="26"/>
      <c r="AE40" s="26"/>
      <c r="AF40" s="26"/>
      <c r="AG40" s="26"/>
      <c r="AH40" s="26"/>
      <c r="AI40" s="26"/>
      <c r="AJ40" s="26"/>
      <c r="AK40" s="26"/>
      <c r="AL40" s="26"/>
      <c r="AM40" s="26"/>
      <c r="AN40" s="26"/>
      <c r="AO40" s="26"/>
      <c r="AP40" s="26"/>
      <c r="AQ40" s="26"/>
      <c r="AR40" s="26"/>
      <c r="AS40" s="26"/>
      <c r="AT40" s="26"/>
      <c r="AU40" s="26"/>
      <c r="AV40" s="26"/>
      <c r="AW40" s="26"/>
      <c r="AX40" s="26"/>
      <c r="AY40" s="26"/>
      <c r="AZ40" s="26"/>
      <c r="BA40" s="26"/>
      <c r="BB40" s="26"/>
      <c r="BC40" s="26"/>
      <c r="BD40" s="26"/>
      <c r="BE40" s="26"/>
      <c r="BF40" s="26"/>
    </row>
    <row r="41" spans="1:58" x14ac:dyDescent="0.3">
      <c r="A41" s="53"/>
      <c r="B41" s="34"/>
      <c r="C41" s="76">
        <v>5000</v>
      </c>
      <c r="D41" s="33">
        <f>IF($D$9="RECT",'Coeff+Calc'!$K26,'Coeff+Calc'!$M86)</f>
        <v>8.1699065870784757</v>
      </c>
      <c r="E41" s="70">
        <f>IF($D$9="RECT",'Coeff+Calc'!$K56,'Coeff+Calc'!$M116)</f>
        <v>9.2217289217121525</v>
      </c>
      <c r="F41" s="44">
        <f>IF($D$9="RECT",MIN('Coeff+Calc'!$O26,'Coeff+Calc'!$O56),MIN('Coeff+Calc'!$S86,'Coeff+Calc'!$S116))</f>
        <v>3.9028153019882552</v>
      </c>
      <c r="G41" s="44">
        <f>IF($D$9="RECT",MAX('Coeff+Calc'!$Q26,'Coeff+Calc'!$Q56),MAX('Coeff+Calc'!$U86,'Coeff+Calc'!$U116))</f>
        <v>14.008042655430678</v>
      </c>
      <c r="H41" s="35"/>
      <c r="I41" s="35"/>
      <c r="J41" s="52"/>
      <c r="K41" s="35"/>
      <c r="L41" s="34"/>
      <c r="M41" s="44"/>
      <c r="N41" s="34"/>
      <c r="O41" s="34"/>
      <c r="P41" s="34"/>
      <c r="Q41" s="35"/>
      <c r="R41" s="26"/>
      <c r="S41" s="26"/>
      <c r="T41" s="26"/>
      <c r="U41" s="26"/>
      <c r="V41" s="26"/>
      <c r="W41" s="26"/>
      <c r="X41" s="26"/>
      <c r="Y41" s="26"/>
      <c r="Z41" s="26"/>
      <c r="AA41" s="26"/>
      <c r="AB41" s="26"/>
      <c r="AC41" s="26"/>
      <c r="AD41" s="26"/>
      <c r="AE41" s="26"/>
      <c r="AF41" s="26"/>
      <c r="AG41" s="26"/>
      <c r="AH41" s="26"/>
      <c r="AI41" s="26"/>
      <c r="AJ41" s="26"/>
      <c r="AK41" s="26"/>
      <c r="AL41" s="26"/>
      <c r="AM41" s="26"/>
      <c r="AN41" s="26"/>
      <c r="AO41" s="26"/>
      <c r="AP41" s="26"/>
      <c r="AQ41" s="26"/>
      <c r="AR41" s="26"/>
      <c r="AS41" s="26"/>
      <c r="AT41" s="26"/>
      <c r="AU41" s="26"/>
      <c r="AV41" s="26"/>
      <c r="AW41" s="26"/>
      <c r="AX41" s="26"/>
      <c r="AY41" s="26"/>
      <c r="AZ41" s="26"/>
      <c r="BA41" s="26"/>
      <c r="BB41" s="26"/>
      <c r="BC41" s="26"/>
      <c r="BD41" s="26"/>
      <c r="BE41" s="26"/>
      <c r="BF41" s="26"/>
    </row>
    <row r="42" spans="1:58" x14ac:dyDescent="0.3">
      <c r="A42" s="53"/>
      <c r="B42" s="34"/>
      <c r="C42" s="76">
        <v>6300</v>
      </c>
      <c r="D42" s="33">
        <f>IF($D$9="RECT",'Coeff+Calc'!$K27,'Coeff+Calc'!$M87)</f>
        <v>7.8318246495432531</v>
      </c>
      <c r="E42" s="70">
        <f>IF($D$9="RECT",'Coeff+Calc'!$K57,'Coeff+Calc'!$M117)</f>
        <v>9.8608194223126802</v>
      </c>
      <c r="F42" s="44">
        <f>IF($D$9="RECT",MIN('Coeff+Calc'!$O27,'Coeff+Calc'!$O57),MIN('Coeff+Calc'!$S87,'Coeff+Calc'!$S117))</f>
        <v>1.5172910820307894</v>
      </c>
      <c r="G42" s="44">
        <f>IF($D$9="RECT",MAX('Coeff+Calc'!$Q27,'Coeff+Calc'!$Q57),MAX('Coeff+Calc'!$U87,'Coeff+Calc'!$U117))</f>
        <v>18.204347762594573</v>
      </c>
      <c r="H42" s="35"/>
      <c r="I42" s="35"/>
      <c r="J42" s="52"/>
      <c r="K42" s="35"/>
      <c r="L42" s="34"/>
      <c r="M42" s="44"/>
      <c r="N42" s="34"/>
      <c r="O42" s="34"/>
      <c r="P42" s="34"/>
      <c r="Q42" s="35"/>
      <c r="R42" s="26"/>
      <c r="S42" s="26"/>
      <c r="T42" s="26"/>
      <c r="U42" s="26"/>
      <c r="V42" s="26"/>
      <c r="W42" s="26"/>
      <c r="X42" s="26"/>
      <c r="Y42" s="26"/>
      <c r="Z42" s="26"/>
      <c r="AA42" s="26"/>
      <c r="AB42" s="26"/>
      <c r="AC42" s="26"/>
      <c r="AD42" s="26"/>
      <c r="AE42" s="26"/>
      <c r="AF42" s="26"/>
      <c r="AG42" s="26"/>
      <c r="AH42" s="26"/>
      <c r="AI42" s="26"/>
      <c r="AJ42" s="26"/>
      <c r="AK42" s="26"/>
      <c r="AL42" s="26"/>
      <c r="AM42" s="26"/>
      <c r="AN42" s="26"/>
      <c r="AO42" s="26"/>
      <c r="AP42" s="26"/>
      <c r="AQ42" s="26"/>
      <c r="AR42" s="26"/>
      <c r="AS42" s="26"/>
      <c r="AT42" s="26"/>
      <c r="AU42" s="26"/>
      <c r="AV42" s="26"/>
      <c r="AW42" s="26"/>
      <c r="AX42" s="26"/>
      <c r="AY42" s="26"/>
      <c r="AZ42" s="26"/>
      <c r="BA42" s="26"/>
      <c r="BB42" s="26"/>
      <c r="BC42" s="26"/>
      <c r="BD42" s="26"/>
      <c r="BE42" s="26"/>
      <c r="BF42" s="26"/>
    </row>
    <row r="43" spans="1:58" x14ac:dyDescent="0.3">
      <c r="A43" s="53"/>
      <c r="B43" s="34"/>
      <c r="C43" s="76">
        <v>8000</v>
      </c>
      <c r="D43" s="33">
        <f>IF($D$9="RECT",'Coeff+Calc'!$K28,'Coeff+Calc'!$M88)</f>
        <v>7.3990092484253989</v>
      </c>
      <c r="E43" s="70">
        <f>IF($D$9="RECT",'Coeff+Calc'!$K58,'Coeff+Calc'!$M118)</f>
        <v>8.9107195384649138</v>
      </c>
      <c r="F43" s="44">
        <f>IF($D$9="RECT",MIN('Coeff+Calc'!$O28,'Coeff+Calc'!$O58),MIN('Coeff+Calc'!$S88,'Coeff+Calc'!$S118))</f>
        <v>2.7805303521136997</v>
      </c>
      <c r="G43" s="44">
        <f>IF($D$9="RECT",MAX('Coeff+Calc'!$Q28,'Coeff+Calc'!$Q58),MAX('Coeff+Calc'!$U88,'Coeff+Calc'!$U118))</f>
        <v>15.040908724816127</v>
      </c>
      <c r="H43" s="35"/>
      <c r="I43" s="35"/>
      <c r="J43" s="52"/>
      <c r="K43" s="35"/>
      <c r="L43" s="34"/>
      <c r="M43" s="44"/>
      <c r="N43" s="34"/>
      <c r="O43" s="34"/>
      <c r="P43" s="34"/>
      <c r="Q43" s="35"/>
      <c r="R43" s="26"/>
      <c r="S43" s="26"/>
      <c r="T43" s="26"/>
      <c r="U43" s="26"/>
      <c r="V43" s="26"/>
      <c r="W43" s="26"/>
      <c r="X43" s="26"/>
      <c r="Y43" s="26"/>
      <c r="Z43" s="26"/>
      <c r="AA43" s="26"/>
      <c r="AB43" s="26"/>
      <c r="AC43" s="26"/>
      <c r="AD43" s="26"/>
      <c r="AE43" s="26"/>
      <c r="AF43" s="26"/>
      <c r="AG43" s="26"/>
      <c r="AH43" s="26"/>
      <c r="AI43" s="26"/>
      <c r="AJ43" s="26"/>
      <c r="AK43" s="26"/>
      <c r="AL43" s="26"/>
      <c r="AM43" s="26"/>
      <c r="AN43" s="26"/>
      <c r="AO43" s="26"/>
      <c r="AP43" s="26"/>
      <c r="AQ43" s="26"/>
      <c r="AR43" s="26"/>
      <c r="AS43" s="26"/>
      <c r="AT43" s="26"/>
      <c r="AU43" s="26"/>
      <c r="AV43" s="26"/>
      <c r="AW43" s="26"/>
      <c r="AX43" s="26"/>
      <c r="AY43" s="26"/>
      <c r="AZ43" s="26"/>
      <c r="BA43" s="26"/>
      <c r="BB43" s="26"/>
      <c r="BC43" s="26"/>
      <c r="BD43" s="26"/>
      <c r="BE43" s="26"/>
      <c r="BF43" s="26"/>
    </row>
    <row r="44" spans="1:58" ht="15" thickBot="1" x14ac:dyDescent="0.35">
      <c r="A44" s="53"/>
      <c r="B44" s="34"/>
      <c r="C44" s="77">
        <v>10000</v>
      </c>
      <c r="D44" s="72">
        <f>IF($D$9="RECT",'Coeff+Calc'!$K29,'Coeff+Calc'!$M89)</f>
        <v>7.3374973971155208</v>
      </c>
      <c r="E44" s="73">
        <f>IF($D$9="RECT",'Coeff+Calc'!$K59,'Coeff+Calc'!$M119)</f>
        <v>8.6147892979061318</v>
      </c>
      <c r="F44" s="44">
        <f>IF($D$9="RECT",MIN('Coeff+Calc'!$O29,'Coeff+Calc'!$O59),MIN('Coeff+Calc'!$S89,'Coeff+Calc'!$S119))</f>
        <v>2.60347438575588</v>
      </c>
      <c r="G44" s="44">
        <f>IF($D$9="RECT",MAX('Coeff+Calc'!$Q29,'Coeff+Calc'!$Q59),MAX('Coeff+Calc'!$U89,'Coeff+Calc'!$U119))</f>
        <v>14.626104210056383</v>
      </c>
      <c r="H44" s="35"/>
      <c r="I44" s="35"/>
      <c r="J44" s="35"/>
      <c r="K44" s="35"/>
      <c r="L44" s="34"/>
      <c r="M44" s="34"/>
      <c r="N44" s="34"/>
      <c r="O44" s="34"/>
      <c r="P44" s="34"/>
      <c r="Q44" s="35"/>
      <c r="R44" s="26"/>
      <c r="S44" s="26"/>
      <c r="T44" s="26"/>
      <c r="U44" s="26"/>
      <c r="V44" s="26"/>
      <c r="W44" s="26"/>
      <c r="X44" s="26"/>
      <c r="Y44" s="26"/>
      <c r="Z44" s="26"/>
      <c r="AA44" s="26"/>
      <c r="AB44" s="26"/>
      <c r="AC44" s="26"/>
      <c r="AD44" s="26"/>
      <c r="AE44" s="26"/>
      <c r="AF44" s="26"/>
      <c r="AG44" s="26"/>
      <c r="AH44" s="26"/>
      <c r="AI44" s="26"/>
      <c r="AJ44" s="26"/>
      <c r="AK44" s="26"/>
      <c r="AL44" s="26"/>
      <c r="AM44" s="26"/>
      <c r="AN44" s="26"/>
      <c r="AO44" s="26"/>
      <c r="AP44" s="26"/>
      <c r="AQ44" s="26"/>
      <c r="AR44" s="26"/>
      <c r="AS44" s="26"/>
      <c r="AT44" s="26"/>
      <c r="AU44" s="26"/>
      <c r="AV44" s="26"/>
      <c r="AW44" s="26"/>
      <c r="AX44" s="26"/>
      <c r="AY44" s="26"/>
      <c r="AZ44" s="26"/>
      <c r="BA44" s="26"/>
      <c r="BB44" s="26"/>
      <c r="BC44" s="26"/>
      <c r="BD44" s="26"/>
      <c r="BE44" s="26"/>
      <c r="BF44" s="26"/>
    </row>
    <row r="45" spans="1:58" ht="15" thickTop="1" x14ac:dyDescent="0.3">
      <c r="A45" s="53"/>
      <c r="B45" s="34"/>
      <c r="C45" s="35"/>
      <c r="D45" s="35"/>
      <c r="E45" s="35"/>
      <c r="F45" s="35"/>
      <c r="G45" s="35"/>
      <c r="H45" s="35"/>
      <c r="I45" s="35"/>
      <c r="J45" s="35"/>
      <c r="K45" s="35"/>
      <c r="L45" s="34"/>
      <c r="M45" s="34"/>
      <c r="N45" s="34"/>
      <c r="O45" s="34"/>
      <c r="P45" s="34"/>
      <c r="Q45" s="35"/>
      <c r="R45" s="26"/>
      <c r="S45" s="26"/>
      <c r="T45" s="26"/>
      <c r="U45" s="26"/>
      <c r="V45" s="26"/>
      <c r="W45" s="26"/>
      <c r="X45" s="26"/>
      <c r="Y45" s="26"/>
      <c r="Z45" s="26"/>
      <c r="AA45" s="26"/>
      <c r="AB45" s="26"/>
      <c r="AC45" s="26"/>
      <c r="AD45" s="26"/>
      <c r="AE45" s="26"/>
      <c r="AF45" s="26"/>
      <c r="AG45" s="26"/>
      <c r="AH45" s="26"/>
      <c r="AI45" s="26"/>
      <c r="AJ45" s="26"/>
      <c r="AK45" s="26"/>
      <c r="AL45" s="26"/>
      <c r="AM45" s="26"/>
      <c r="AN45" s="26"/>
      <c r="AO45" s="26"/>
      <c r="AP45" s="26"/>
      <c r="AQ45" s="26"/>
      <c r="AR45" s="26"/>
      <c r="AS45" s="26"/>
      <c r="AT45" s="26"/>
      <c r="AU45" s="26"/>
      <c r="AV45" s="26"/>
      <c r="AW45" s="26"/>
      <c r="AX45" s="26"/>
      <c r="AY45" s="26"/>
      <c r="AZ45" s="26"/>
      <c r="BA45" s="26"/>
      <c r="BB45" s="26"/>
      <c r="BC45" s="26"/>
      <c r="BD45" s="26"/>
      <c r="BE45" s="26"/>
      <c r="BF45" s="26"/>
    </row>
    <row r="46" spans="1:58" x14ac:dyDescent="0.3">
      <c r="A46" s="53"/>
      <c r="B46" s="34"/>
      <c r="C46" s="35"/>
      <c r="D46" s="35"/>
      <c r="E46" s="35"/>
      <c r="F46" s="35"/>
      <c r="G46" s="35"/>
      <c r="H46" s="35"/>
      <c r="I46" s="35"/>
      <c r="J46" s="35"/>
      <c r="K46" s="35"/>
      <c r="L46" s="34"/>
      <c r="M46" s="34"/>
      <c r="N46" s="34"/>
      <c r="O46" s="34"/>
      <c r="P46" s="34"/>
      <c r="Q46" s="35"/>
      <c r="R46" s="26"/>
      <c r="S46" s="26"/>
      <c r="T46" s="26"/>
      <c r="U46" s="26"/>
      <c r="V46" s="26"/>
      <c r="W46" s="26"/>
      <c r="X46" s="26"/>
      <c r="Y46" s="26"/>
      <c r="Z46" s="26"/>
      <c r="AA46" s="26"/>
      <c r="AB46" s="26"/>
      <c r="AC46" s="26"/>
      <c r="AD46" s="26"/>
      <c r="AE46" s="26"/>
      <c r="AF46" s="26"/>
      <c r="AG46" s="26"/>
      <c r="AH46" s="26"/>
      <c r="AI46" s="26"/>
      <c r="AJ46" s="26"/>
      <c r="AK46" s="26"/>
      <c r="AL46" s="26"/>
      <c r="AM46" s="26"/>
      <c r="AN46" s="26"/>
      <c r="AO46" s="26"/>
      <c r="AP46" s="26"/>
      <c r="AQ46" s="26"/>
      <c r="AR46" s="26"/>
      <c r="AS46" s="26"/>
      <c r="AT46" s="26"/>
      <c r="AU46" s="26"/>
      <c r="AV46" s="26"/>
      <c r="AW46" s="26"/>
      <c r="AX46" s="26"/>
      <c r="AY46" s="26"/>
      <c r="AZ46" s="26"/>
      <c r="BA46" s="26"/>
      <c r="BB46" s="26"/>
      <c r="BC46" s="26"/>
      <c r="BD46" s="26"/>
      <c r="BE46" s="26"/>
      <c r="BF46" s="26"/>
    </row>
    <row r="47" spans="1:58" s="26" customFormat="1" x14ac:dyDescent="0.3">
      <c r="C47" s="28"/>
      <c r="D47" s="28"/>
      <c r="E47" s="28"/>
      <c r="F47" s="28"/>
      <c r="G47" s="28"/>
      <c r="H47" s="28"/>
      <c r="I47" s="28"/>
      <c r="J47" s="28"/>
      <c r="K47" s="28"/>
      <c r="Q47" s="28"/>
    </row>
    <row r="48" spans="1:58" s="26" customFormat="1" x14ac:dyDescent="0.3">
      <c r="C48" s="28"/>
      <c r="D48" s="28"/>
      <c r="E48" s="28"/>
      <c r="F48" s="28"/>
      <c r="G48" s="28"/>
      <c r="H48" s="28"/>
      <c r="I48" s="28"/>
      <c r="J48" s="28"/>
      <c r="K48" s="28"/>
      <c r="Q48" s="28"/>
    </row>
    <row r="49" spans="3:17" s="26" customFormat="1" x14ac:dyDescent="0.3">
      <c r="C49" s="28"/>
      <c r="D49" s="28"/>
      <c r="E49" s="28"/>
      <c r="F49" s="28"/>
      <c r="G49" s="28"/>
      <c r="H49" s="28"/>
      <c r="I49" s="28"/>
      <c r="J49" s="28"/>
      <c r="K49" s="28"/>
      <c r="Q49" s="28"/>
    </row>
    <row r="50" spans="3:17" s="26" customFormat="1" x14ac:dyDescent="0.3">
      <c r="C50" s="28"/>
      <c r="D50" s="28"/>
      <c r="E50" s="28"/>
      <c r="F50" s="28"/>
      <c r="G50" s="28"/>
      <c r="H50" s="28"/>
      <c r="I50" s="28"/>
      <c r="J50" s="28"/>
      <c r="K50" s="28"/>
      <c r="Q50" s="28"/>
    </row>
    <row r="51" spans="3:17" s="26" customFormat="1" x14ac:dyDescent="0.3">
      <c r="C51" s="28"/>
      <c r="D51" s="28"/>
      <c r="E51" s="28"/>
      <c r="F51" s="28"/>
      <c r="G51" s="28"/>
      <c r="H51" s="28"/>
      <c r="I51" s="28"/>
      <c r="J51" s="28"/>
      <c r="K51" s="28"/>
      <c r="Q51" s="28"/>
    </row>
    <row r="52" spans="3:17" s="26" customFormat="1" x14ac:dyDescent="0.3">
      <c r="C52" s="28"/>
      <c r="D52" s="28"/>
      <c r="E52" s="28"/>
      <c r="F52" s="28"/>
      <c r="G52" s="28"/>
      <c r="H52" s="28"/>
      <c r="I52" s="28"/>
      <c r="J52" s="28"/>
      <c r="K52" s="28"/>
      <c r="Q52" s="28"/>
    </row>
    <row r="53" spans="3:17" s="26" customFormat="1" x14ac:dyDescent="0.3">
      <c r="C53" s="28"/>
      <c r="D53" s="28"/>
      <c r="E53" s="28"/>
      <c r="F53" s="28"/>
      <c r="G53" s="28"/>
      <c r="H53" s="28"/>
      <c r="I53" s="28"/>
      <c r="J53" s="28"/>
      <c r="K53" s="28"/>
      <c r="Q53" s="28"/>
    </row>
    <row r="54" spans="3:17" s="26" customFormat="1" x14ac:dyDescent="0.3">
      <c r="C54" s="28"/>
      <c r="D54" s="28"/>
      <c r="E54" s="28"/>
      <c r="F54" s="28"/>
      <c r="G54" s="28"/>
      <c r="H54" s="28"/>
      <c r="I54" s="28"/>
      <c r="J54" s="28"/>
      <c r="K54" s="28"/>
      <c r="Q54" s="28"/>
    </row>
    <row r="55" spans="3:17" s="26" customFormat="1" x14ac:dyDescent="0.3">
      <c r="C55" s="28"/>
      <c r="D55" s="28"/>
      <c r="E55" s="28"/>
      <c r="F55" s="28"/>
      <c r="G55" s="28"/>
      <c r="H55" s="28"/>
      <c r="I55" s="28"/>
      <c r="J55" s="28"/>
      <c r="K55" s="28"/>
      <c r="Q55" s="28"/>
    </row>
    <row r="56" spans="3:17" s="26" customFormat="1" x14ac:dyDescent="0.3">
      <c r="C56" s="28"/>
      <c r="D56" s="28"/>
      <c r="E56" s="28"/>
      <c r="F56" s="28"/>
      <c r="G56" s="28"/>
      <c r="H56" s="28"/>
      <c r="I56" s="28"/>
      <c r="J56" s="28"/>
      <c r="K56" s="28"/>
      <c r="Q56" s="28"/>
    </row>
    <row r="57" spans="3:17" s="26" customFormat="1" x14ac:dyDescent="0.3">
      <c r="C57" s="28"/>
      <c r="D57" s="28"/>
      <c r="E57" s="28"/>
      <c r="F57" s="28"/>
      <c r="G57" s="28"/>
      <c r="H57" s="28"/>
      <c r="I57" s="28"/>
      <c r="J57" s="28"/>
      <c r="K57" s="28"/>
      <c r="Q57" s="28"/>
    </row>
    <row r="58" spans="3:17" s="26" customFormat="1" x14ac:dyDescent="0.3">
      <c r="C58" s="28"/>
      <c r="D58" s="28"/>
      <c r="E58" s="28"/>
      <c r="F58" s="28"/>
      <c r="G58" s="28"/>
      <c r="H58" s="28"/>
      <c r="I58" s="28"/>
      <c r="J58" s="28"/>
      <c r="K58" s="28"/>
      <c r="Q58" s="28"/>
    </row>
    <row r="59" spans="3:17" s="26" customFormat="1" x14ac:dyDescent="0.3">
      <c r="C59" s="28"/>
      <c r="D59" s="28"/>
      <c r="E59" s="28"/>
      <c r="F59" s="28"/>
      <c r="G59" s="28"/>
      <c r="H59" s="28"/>
      <c r="I59" s="28"/>
      <c r="J59" s="28"/>
      <c r="K59" s="28"/>
      <c r="Q59" s="28"/>
    </row>
    <row r="60" spans="3:17" s="26" customFormat="1" x14ac:dyDescent="0.3">
      <c r="C60" s="28"/>
      <c r="D60" s="28"/>
      <c r="E60" s="28"/>
      <c r="F60" s="28"/>
      <c r="G60" s="28"/>
      <c r="H60" s="28"/>
      <c r="I60" s="28"/>
      <c r="J60" s="28"/>
      <c r="K60" s="28"/>
      <c r="Q60" s="28"/>
    </row>
    <row r="61" spans="3:17" s="26" customFormat="1" x14ac:dyDescent="0.3">
      <c r="C61" s="28"/>
      <c r="D61" s="28"/>
      <c r="E61" s="28"/>
      <c r="F61" s="28"/>
      <c r="G61" s="28"/>
      <c r="H61" s="28"/>
      <c r="I61" s="28"/>
      <c r="J61" s="28"/>
      <c r="K61" s="28"/>
      <c r="Q61" s="28"/>
    </row>
    <row r="62" spans="3:17" s="26" customFormat="1" x14ac:dyDescent="0.3">
      <c r="C62" s="28"/>
      <c r="D62" s="28"/>
      <c r="E62" s="28"/>
      <c r="F62" s="28"/>
      <c r="G62" s="28"/>
      <c r="H62" s="28"/>
      <c r="I62" s="28"/>
      <c r="J62" s="28"/>
      <c r="K62" s="28"/>
      <c r="Q62" s="28"/>
    </row>
    <row r="63" spans="3:17" s="26" customFormat="1" x14ac:dyDescent="0.3">
      <c r="C63" s="28"/>
      <c r="D63" s="28"/>
      <c r="E63" s="28"/>
      <c r="F63" s="28"/>
      <c r="G63" s="28"/>
      <c r="H63" s="28"/>
      <c r="I63" s="28"/>
      <c r="J63" s="28"/>
      <c r="K63" s="28"/>
      <c r="Q63" s="28"/>
    </row>
    <row r="64" spans="3:17" s="26" customFormat="1" x14ac:dyDescent="0.3">
      <c r="C64" s="28"/>
      <c r="D64" s="28"/>
      <c r="E64" s="28"/>
      <c r="F64" s="28"/>
      <c r="G64" s="28"/>
      <c r="H64" s="28"/>
      <c r="I64" s="28"/>
      <c r="J64" s="28"/>
      <c r="K64" s="28"/>
      <c r="Q64" s="28"/>
    </row>
    <row r="65" spans="3:17" s="26" customFormat="1" x14ac:dyDescent="0.3">
      <c r="C65" s="28"/>
      <c r="D65" s="28"/>
      <c r="E65" s="28"/>
      <c r="F65" s="28"/>
      <c r="G65" s="28"/>
      <c r="H65" s="28"/>
      <c r="I65" s="28"/>
      <c r="J65" s="28"/>
      <c r="K65" s="28"/>
      <c r="Q65" s="28"/>
    </row>
    <row r="66" spans="3:17" s="26" customFormat="1" x14ac:dyDescent="0.3">
      <c r="C66" s="28"/>
      <c r="D66" s="28"/>
      <c r="E66" s="28"/>
      <c r="F66" s="28"/>
      <c r="G66" s="28"/>
      <c r="H66" s="28"/>
      <c r="I66" s="28"/>
      <c r="J66" s="28"/>
      <c r="K66" s="28"/>
      <c r="Q66" s="28"/>
    </row>
    <row r="67" spans="3:17" s="26" customFormat="1" x14ac:dyDescent="0.3">
      <c r="C67" s="28"/>
      <c r="D67" s="28"/>
      <c r="E67" s="28"/>
      <c r="F67" s="28"/>
      <c r="G67" s="28"/>
      <c r="H67" s="28"/>
      <c r="I67" s="28"/>
      <c r="J67" s="28"/>
      <c r="K67" s="28"/>
      <c r="Q67" s="28"/>
    </row>
    <row r="68" spans="3:17" s="26" customFormat="1" x14ac:dyDescent="0.3">
      <c r="C68" s="28"/>
      <c r="D68" s="28"/>
      <c r="E68" s="28"/>
      <c r="F68" s="28"/>
      <c r="G68" s="28"/>
      <c r="H68" s="28"/>
      <c r="I68" s="28"/>
      <c r="J68" s="28"/>
      <c r="K68" s="28"/>
      <c r="Q68" s="28"/>
    </row>
    <row r="69" spans="3:17" s="26" customFormat="1" x14ac:dyDescent="0.3">
      <c r="C69" s="28"/>
      <c r="D69" s="28"/>
      <c r="E69" s="28"/>
      <c r="F69" s="28"/>
      <c r="G69" s="28"/>
      <c r="H69" s="28"/>
      <c r="I69" s="28"/>
      <c r="J69" s="28"/>
      <c r="K69" s="28"/>
      <c r="Q69" s="28"/>
    </row>
    <row r="70" spans="3:17" s="26" customFormat="1" x14ac:dyDescent="0.3">
      <c r="C70" s="28"/>
      <c r="D70" s="28"/>
      <c r="E70" s="28"/>
      <c r="F70" s="28"/>
      <c r="G70" s="28"/>
      <c r="H70" s="28"/>
      <c r="I70" s="28"/>
      <c r="J70" s="28"/>
      <c r="K70" s="28"/>
      <c r="Q70" s="28"/>
    </row>
    <row r="71" spans="3:17" s="26" customFormat="1" x14ac:dyDescent="0.3">
      <c r="C71" s="28"/>
      <c r="D71" s="28"/>
      <c r="E71" s="28"/>
      <c r="F71" s="28"/>
      <c r="G71" s="28"/>
      <c r="H71" s="28"/>
      <c r="I71" s="28"/>
      <c r="J71" s="28"/>
      <c r="K71" s="28"/>
      <c r="Q71" s="28"/>
    </row>
    <row r="72" spans="3:17" s="26" customFormat="1" x14ac:dyDescent="0.3">
      <c r="C72" s="28"/>
      <c r="D72" s="28"/>
      <c r="E72" s="28"/>
      <c r="F72" s="28"/>
      <c r="G72" s="28"/>
      <c r="H72" s="28"/>
      <c r="I72" s="28"/>
      <c r="J72" s="28"/>
      <c r="K72" s="28"/>
      <c r="Q72" s="28"/>
    </row>
    <row r="73" spans="3:17" s="26" customFormat="1" x14ac:dyDescent="0.3">
      <c r="C73" s="28"/>
      <c r="D73" s="28"/>
      <c r="E73" s="28"/>
      <c r="F73" s="28"/>
      <c r="G73" s="28"/>
      <c r="H73" s="28"/>
      <c r="I73" s="28"/>
      <c r="J73" s="28"/>
      <c r="K73" s="28"/>
      <c r="Q73" s="28"/>
    </row>
    <row r="74" spans="3:17" s="26" customFormat="1" x14ac:dyDescent="0.3">
      <c r="C74" s="28"/>
      <c r="D74" s="28"/>
      <c r="E74" s="28"/>
      <c r="F74" s="28"/>
      <c r="G74" s="28"/>
      <c r="H74" s="28"/>
      <c r="I74" s="28"/>
      <c r="J74" s="28"/>
      <c r="K74" s="28"/>
      <c r="Q74" s="28"/>
    </row>
    <row r="75" spans="3:17" s="26" customFormat="1" x14ac:dyDescent="0.3">
      <c r="C75" s="28"/>
      <c r="D75" s="28"/>
      <c r="E75" s="28"/>
      <c r="F75" s="28"/>
      <c r="G75" s="28"/>
      <c r="H75" s="28"/>
      <c r="I75" s="28"/>
      <c r="J75" s="28"/>
      <c r="K75" s="28"/>
      <c r="Q75" s="28"/>
    </row>
    <row r="76" spans="3:17" s="26" customFormat="1" x14ac:dyDescent="0.3">
      <c r="C76" s="28"/>
      <c r="D76" s="28"/>
      <c r="E76" s="28"/>
      <c r="F76" s="28"/>
      <c r="G76" s="28"/>
      <c r="H76" s="28"/>
      <c r="I76" s="28"/>
      <c r="J76" s="28"/>
      <c r="K76" s="28"/>
      <c r="Q76" s="28"/>
    </row>
    <row r="77" spans="3:17" s="26" customFormat="1" x14ac:dyDescent="0.3">
      <c r="C77" s="28"/>
      <c r="D77" s="28"/>
      <c r="E77" s="28"/>
      <c r="F77" s="28"/>
      <c r="G77" s="28"/>
      <c r="H77" s="28"/>
      <c r="I77" s="28"/>
      <c r="J77" s="28"/>
      <c r="K77" s="28"/>
      <c r="Q77" s="28"/>
    </row>
    <row r="78" spans="3:17" s="26" customFormat="1" x14ac:dyDescent="0.3">
      <c r="C78" s="28"/>
      <c r="D78" s="28"/>
      <c r="E78" s="28"/>
      <c r="F78" s="28"/>
      <c r="G78" s="28"/>
      <c r="H78" s="28"/>
      <c r="I78" s="28"/>
      <c r="J78" s="28"/>
      <c r="K78" s="28"/>
      <c r="Q78" s="28"/>
    </row>
    <row r="79" spans="3:17" s="26" customFormat="1" x14ac:dyDescent="0.3">
      <c r="C79" s="28"/>
      <c r="D79" s="28"/>
      <c r="E79" s="28"/>
      <c r="F79" s="28"/>
      <c r="G79" s="28"/>
      <c r="H79" s="28"/>
      <c r="I79" s="28"/>
      <c r="J79" s="28"/>
      <c r="K79" s="28"/>
      <c r="Q79" s="28"/>
    </row>
    <row r="80" spans="3:17" s="26" customFormat="1" x14ac:dyDescent="0.3">
      <c r="C80" s="28"/>
      <c r="D80" s="28"/>
      <c r="E80" s="28"/>
      <c r="F80" s="28"/>
      <c r="G80" s="28"/>
      <c r="H80" s="28"/>
      <c r="I80" s="28"/>
      <c r="J80" s="28"/>
      <c r="K80" s="28"/>
      <c r="Q80" s="28"/>
    </row>
    <row r="81" spans="3:17" s="26" customFormat="1" x14ac:dyDescent="0.3">
      <c r="C81" s="28"/>
      <c r="D81" s="28"/>
      <c r="E81" s="28"/>
      <c r="F81" s="28"/>
      <c r="G81" s="28"/>
      <c r="H81" s="28"/>
      <c r="I81" s="28"/>
      <c r="J81" s="28"/>
      <c r="K81" s="28"/>
      <c r="Q81" s="28"/>
    </row>
    <row r="82" spans="3:17" s="26" customFormat="1" x14ac:dyDescent="0.3">
      <c r="C82" s="28"/>
      <c r="D82" s="28"/>
      <c r="E82" s="28"/>
      <c r="F82" s="28"/>
      <c r="G82" s="28"/>
      <c r="H82" s="28"/>
      <c r="I82" s="28"/>
      <c r="J82" s="28"/>
      <c r="K82" s="28"/>
      <c r="Q82" s="28"/>
    </row>
    <row r="83" spans="3:17" s="26" customFormat="1" x14ac:dyDescent="0.3">
      <c r="C83" s="28"/>
      <c r="D83" s="28"/>
      <c r="E83" s="28"/>
      <c r="F83" s="28"/>
      <c r="G83" s="28"/>
      <c r="H83" s="28"/>
      <c r="I83" s="28"/>
      <c r="J83" s="28"/>
      <c r="K83" s="28"/>
      <c r="Q83" s="28"/>
    </row>
    <row r="84" spans="3:17" s="26" customFormat="1" x14ac:dyDescent="0.3">
      <c r="C84" s="28"/>
      <c r="D84" s="28"/>
      <c r="E84" s="28"/>
      <c r="F84" s="28"/>
      <c r="G84" s="28"/>
      <c r="H84" s="28"/>
      <c r="I84" s="28"/>
      <c r="J84" s="28"/>
      <c r="K84" s="28"/>
      <c r="Q84" s="28"/>
    </row>
    <row r="85" spans="3:17" s="26" customFormat="1" x14ac:dyDescent="0.3">
      <c r="C85" s="28"/>
      <c r="D85" s="28"/>
      <c r="E85" s="28"/>
      <c r="F85" s="28"/>
      <c r="G85" s="28"/>
      <c r="H85" s="28"/>
      <c r="I85" s="28"/>
      <c r="J85" s="28"/>
      <c r="K85" s="28"/>
      <c r="Q85" s="28"/>
    </row>
    <row r="86" spans="3:17" s="26" customFormat="1" x14ac:dyDescent="0.3">
      <c r="C86" s="28"/>
      <c r="D86" s="28"/>
      <c r="E86" s="28"/>
      <c r="F86" s="28"/>
      <c r="G86" s="28"/>
      <c r="H86" s="28"/>
      <c r="I86" s="28"/>
      <c r="J86" s="28"/>
      <c r="K86" s="28"/>
      <c r="Q86" s="28"/>
    </row>
    <row r="87" spans="3:17" s="26" customFormat="1" x14ac:dyDescent="0.3">
      <c r="C87" s="28"/>
      <c r="D87" s="28"/>
      <c r="E87" s="28"/>
      <c r="F87" s="28"/>
      <c r="G87" s="28"/>
      <c r="H87" s="28"/>
      <c r="I87" s="28"/>
      <c r="J87" s="28"/>
      <c r="K87" s="28"/>
      <c r="Q87" s="28"/>
    </row>
  </sheetData>
  <sheetProtection algorithmName="SHA-512" hashValue="uBzXoQnF0mFSbydn9sugePzqdKI+/UF5GZbfbIdUIhiDbuHw3E8CflHQ0asu30p9iVh5SeGMHuY8JOadEt9GBg==" saltValue="Nf9CEkAC2FNvznFFywWoIQ==" spinCount="100000" sheet="1" objects="1" scenarios="1"/>
  <mergeCells count="5">
    <mergeCell ref="B8:C8"/>
    <mergeCell ref="B9:C9"/>
    <mergeCell ref="B10:C10"/>
    <mergeCell ref="B11:C11"/>
    <mergeCell ref="B12:C12"/>
  </mergeCells>
  <dataValidations count="2">
    <dataValidation type="list" allowBlank="1" showInputMessage="1" showErrorMessage="1" sqref="D9" xr:uid="{00000000-0002-0000-0100-000000000000}">
      <formula1>"RECT,ROUND"</formula1>
    </dataValidation>
    <dataValidation type="list" allowBlank="1" showInputMessage="1" showErrorMessage="1" sqref="D8" xr:uid="{00000000-0002-0000-0100-000001000000}">
      <formula1>"IP,SI"</formula1>
    </dataValidation>
  </dataValidations>
  <hyperlinks>
    <hyperlink ref="E5" r:id="rId1" xr:uid="{00000000-0004-0000-0100-000000000000}"/>
  </hyperlinks>
  <printOptions horizontalCentered="1" verticalCentered="1"/>
  <pageMargins left="0.2" right="0.2" top="0.25" bottom="0.25" header="0.05" footer="0.05"/>
  <pageSetup scale="75" orientation="landscape" r:id="rId2"/>
  <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X119"/>
  <sheetViews>
    <sheetView topLeftCell="A76" workbookViewId="0">
      <selection activeCell="I36" sqref="I36"/>
    </sheetView>
  </sheetViews>
  <sheetFormatPr defaultRowHeight="14.4" x14ac:dyDescent="0.3"/>
  <cols>
    <col min="9" max="9" width="8.88671875" bestFit="1" customWidth="1"/>
    <col min="10" max="10" width="9.44140625" bestFit="1" customWidth="1"/>
  </cols>
  <sheetData>
    <row r="1" spans="1:21" x14ac:dyDescent="0.3">
      <c r="C1" t="s">
        <v>22</v>
      </c>
      <c r="H1" s="2"/>
      <c r="I1" s="107" t="s">
        <v>2</v>
      </c>
      <c r="J1" t="s">
        <v>1</v>
      </c>
      <c r="K1" s="2">
        <f>SELECT!$G$10</f>
        <v>15</v>
      </c>
      <c r="L1" s="109"/>
      <c r="M1" s="85">
        <f>IF(SELECT!$F$10="",0,1)</f>
        <v>0</v>
      </c>
      <c r="N1">
        <f>IF((M1+M2+M3)=0,0,1)</f>
        <v>0</v>
      </c>
    </row>
    <row r="2" spans="1:21" x14ac:dyDescent="0.3">
      <c r="F2" t="s">
        <v>22</v>
      </c>
      <c r="H2" s="2"/>
      <c r="I2" s="107"/>
      <c r="J2" s="2" t="s">
        <v>3</v>
      </c>
      <c r="K2" s="2">
        <f>SELECT!$G$11</f>
        <v>36</v>
      </c>
      <c r="L2" s="109"/>
      <c r="M2" s="85">
        <f>IF(SELECT!$F$11="",0,1)</f>
        <v>0</v>
      </c>
      <c r="N2" s="2"/>
      <c r="O2" s="108"/>
      <c r="P2" s="108"/>
      <c r="Q2" s="108"/>
      <c r="R2" s="108"/>
      <c r="S2" s="108"/>
      <c r="T2" s="108"/>
      <c r="U2" s="108"/>
    </row>
    <row r="3" spans="1:21" x14ac:dyDescent="0.3">
      <c r="H3">
        <f>SELECT!F14</f>
        <v>1296</v>
      </c>
      <c r="I3" s="107"/>
      <c r="J3" s="2" t="s">
        <v>4</v>
      </c>
      <c r="K3" s="2">
        <f>SELECT!$G$12</f>
        <v>36</v>
      </c>
      <c r="L3" s="109"/>
      <c r="M3" s="85">
        <f>IF(SELECT!$F$12="",0,1)</f>
        <v>0</v>
      </c>
      <c r="N3" s="2"/>
    </row>
    <row r="4" spans="1:21" x14ac:dyDescent="0.3">
      <c r="I4" s="107"/>
      <c r="J4" s="2" t="s">
        <v>0</v>
      </c>
      <c r="K4" s="2">
        <f>SELECT!$F$15</f>
        <v>0.1111111111111111</v>
      </c>
      <c r="L4" s="109"/>
      <c r="M4" s="2"/>
      <c r="N4" s="3"/>
      <c r="O4" s="25"/>
      <c r="P4" s="24"/>
      <c r="Q4" s="25"/>
    </row>
    <row r="5" spans="1:21" x14ac:dyDescent="0.3">
      <c r="A5" s="6" t="s">
        <v>5</v>
      </c>
      <c r="B5" s="6" t="s">
        <v>6</v>
      </c>
      <c r="C5" s="6" t="s">
        <v>7</v>
      </c>
      <c r="D5" s="6" t="s">
        <v>8</v>
      </c>
      <c r="E5" s="6" t="s">
        <v>9</v>
      </c>
      <c r="F5" s="6" t="s">
        <v>10</v>
      </c>
      <c r="G5" s="6" t="s">
        <v>11</v>
      </c>
      <c r="H5" s="6" t="s">
        <v>22</v>
      </c>
      <c r="I5" s="61" t="s">
        <v>15</v>
      </c>
      <c r="J5" s="61"/>
      <c r="K5" s="61"/>
      <c r="L5" s="61"/>
      <c r="M5" s="61"/>
      <c r="N5" s="61"/>
      <c r="O5" s="25" t="s">
        <v>18</v>
      </c>
      <c r="P5" s="24" t="s">
        <v>16</v>
      </c>
      <c r="Q5" s="25" t="s">
        <v>17</v>
      </c>
    </row>
    <row r="6" spans="1:21" x14ac:dyDescent="0.3">
      <c r="A6" s="7">
        <v>50</v>
      </c>
      <c r="B6" s="8">
        <v>-15.107411801744853</v>
      </c>
      <c r="C6" s="8">
        <v>24.627408937876606</v>
      </c>
      <c r="D6" s="9">
        <v>-1.8048130953590271</v>
      </c>
      <c r="E6" s="8">
        <v>-10.958136564197025</v>
      </c>
      <c r="F6" s="8">
        <v>2.8118024898394092</v>
      </c>
      <c r="G6" s="9">
        <v>-0.17438926822196943</v>
      </c>
      <c r="H6" s="2">
        <f>'Coeff+Calc'!A6</f>
        <v>50</v>
      </c>
      <c r="I6" s="4">
        <f>IF(N$1&lt;&gt;0,0,IF(K$1&gt;26.25,0,IF(K$2&lt;12,0,IF($K$3&lt;12,0,IF($K$3&gt;48.1,0,('Coeff+Calc'!B6*K$4^2+'Coeff+Calc'!C6*K$4+'Coeff+Calc'!D6+K$1*('Coeff+Calc'!E6*K$4^2+'Coeff+Calc'!F6*K$4+'Coeff+Calc'!G6)))))))</f>
        <v>0.78626832951525183</v>
      </c>
      <c r="J6" s="10">
        <f t="shared" ref="J6:J29" si="0">H6</f>
        <v>50</v>
      </c>
      <c r="K6" s="4">
        <f>IF(K7=0,0,IF(I6&lt;0,0,IF(I6&gt;50,50,I6)))</f>
        <v>0</v>
      </c>
      <c r="L6" s="4"/>
      <c r="M6" s="2">
        <v>63</v>
      </c>
      <c r="N6" s="4">
        <f>-10*LOG((10^(-K6/10)+10^(-K7/10)+10^(-K8/10))/3)</f>
        <v>0</v>
      </c>
      <c r="O6" s="4">
        <f t="shared" ref="O6:O29" si="1">$K6-2*$P6*$K6</f>
        <v>0</v>
      </c>
      <c r="P6" s="23">
        <v>2.1547621988854218</v>
      </c>
      <c r="Q6" s="4">
        <f t="shared" ref="Q6:Q29" si="2">$K6+2*$P6*$K6</f>
        <v>0</v>
      </c>
    </row>
    <row r="7" spans="1:21" x14ac:dyDescent="0.3">
      <c r="A7" s="7">
        <v>63</v>
      </c>
      <c r="B7" s="8">
        <v>187.48076425414797</v>
      </c>
      <c r="C7" s="8">
        <v>-61.426488502724126</v>
      </c>
      <c r="D7" s="11">
        <v>4.1482067485266647</v>
      </c>
      <c r="E7" s="8">
        <v>-38.23114113532111</v>
      </c>
      <c r="F7" s="8">
        <v>12.159305546195579</v>
      </c>
      <c r="G7" s="11">
        <v>-0.81264726742105231</v>
      </c>
      <c r="H7" s="2">
        <f>'Coeff+Calc'!A7</f>
        <v>63</v>
      </c>
      <c r="I7" s="4">
        <f>IF(N$1&lt;&gt;0,0,IF(K$1&gt;26.25,0,IF(K$2&lt;12,0,IF($K$3&lt;12,0,IF($K$3&gt;48.1,0,('Coeff+Calc'!B7*K$4^2+'Coeff+Calc'!C7*K$4+'Coeff+Calc'!D7+K$1*('Coeff+Calc'!E7*K$4^2+'Coeff+Calc'!F7*K$4+'Coeff+Calc'!G7)))))))</f>
        <v>0.63357797716417985</v>
      </c>
      <c r="J7" s="10">
        <f t="shared" si="0"/>
        <v>63</v>
      </c>
      <c r="K7" s="4">
        <f>IF(K8=0,0,IF(I7&lt;0,0,IF(I7&gt;50,50,I7)))</f>
        <v>0</v>
      </c>
      <c r="L7" s="4"/>
      <c r="M7" s="2">
        <v>125</v>
      </c>
      <c r="N7" s="4">
        <f>-10*LOG((10^(-K9/10)+10^(-K10/10)+10^(-K11/10))/3)</f>
        <v>1.2076340091650146</v>
      </c>
      <c r="O7" s="4">
        <f t="shared" si="1"/>
        <v>0</v>
      </c>
      <c r="P7" s="23">
        <v>9.1353572356740802</v>
      </c>
      <c r="Q7" s="4">
        <f t="shared" si="2"/>
        <v>0</v>
      </c>
    </row>
    <row r="8" spans="1:21" x14ac:dyDescent="0.3">
      <c r="A8" s="7">
        <v>80</v>
      </c>
      <c r="B8" s="8">
        <v>53.495383585518425</v>
      </c>
      <c r="C8" s="8">
        <v>-7.8504694649631253</v>
      </c>
      <c r="D8" s="11">
        <v>0.1734492576486899</v>
      </c>
      <c r="E8" s="8">
        <v>21.875901165131417</v>
      </c>
      <c r="F8" s="8">
        <v>-6.4443101192364951</v>
      </c>
      <c r="G8" s="11">
        <v>0.42039313394520117</v>
      </c>
      <c r="H8" s="2">
        <f>'Coeff+Calc'!A8</f>
        <v>80</v>
      </c>
      <c r="I8" s="4">
        <f>IF(N$1&lt;&gt;0,0,IF(K$1&gt;26.25,0,IF(K$2&lt;12,0,IF($K$3&lt;12,0,IF($K$3&gt;48.1,0,('Coeff+Calc'!B8*K$4^2+'Coeff+Calc'!C8*K$4+'Coeff+Calc'!D8+K$1*('Coeff+Calc'!E8*K$4^2+'Coeff+Calc'!F8*K$4+'Coeff+Calc'!G8)))))))</f>
        <v>-0.42191534081656712</v>
      </c>
      <c r="J8" s="10">
        <f t="shared" si="0"/>
        <v>80</v>
      </c>
      <c r="K8" s="4">
        <f>IF(K9=0,0,IF(I8&lt;0,0,IF(I8&gt;50,50,I8)))</f>
        <v>0</v>
      </c>
      <c r="L8" s="4"/>
      <c r="M8" s="2">
        <v>250</v>
      </c>
      <c r="N8" s="4">
        <f>-10*LOG((10^(-K12/10)+10^(-K13/10)+10^(-K14/10))/3)</f>
        <v>4.3533436004725656</v>
      </c>
      <c r="O8" s="4">
        <f t="shared" si="1"/>
        <v>0</v>
      </c>
      <c r="P8" s="23">
        <v>1.6418611626678108</v>
      </c>
      <c r="Q8" s="4">
        <f t="shared" si="2"/>
        <v>0</v>
      </c>
    </row>
    <row r="9" spans="1:21" x14ac:dyDescent="0.3">
      <c r="A9" s="7">
        <v>100</v>
      </c>
      <c r="B9" s="8">
        <v>-26.691118740450403</v>
      </c>
      <c r="C9" s="8">
        <v>9.0651744792442113</v>
      </c>
      <c r="D9" s="11">
        <v>-0.57075686451704599</v>
      </c>
      <c r="E9" s="8">
        <v>-7.9131953699704916</v>
      </c>
      <c r="F9" s="8">
        <v>1.9162298272091682</v>
      </c>
      <c r="G9" s="11">
        <v>-7.7242340286964944E-2</v>
      </c>
      <c r="H9" s="2">
        <f>'Coeff+Calc'!A9</f>
        <v>100</v>
      </c>
      <c r="I9" s="4">
        <f>IF(N$1&lt;&gt;0,0,IF(K$1&gt;26.25,0,IF(K$2&lt;12,0,IF($K$3&lt;12,0,IF($K$3&gt;48.1,0,('Coeff+Calc'!B9*K$4^2+'Coeff+Calc'!C9*K$4+'Coeff+Calc'!D9+K$1*('Coeff+Calc'!E9*K$4^2+'Coeff+Calc'!F9*K$4+'Coeff+Calc'!G9)))))))</f>
        <v>0.67663948422079845</v>
      </c>
      <c r="J9" s="10">
        <f t="shared" si="0"/>
        <v>100</v>
      </c>
      <c r="K9" s="4">
        <f>IF(K10=0,0,IF(I9&lt;0,0,IF(I9&gt;50,50,I9)))</f>
        <v>0.67663948422079845</v>
      </c>
      <c r="L9" s="4"/>
      <c r="M9" s="2">
        <v>500</v>
      </c>
      <c r="N9" s="4">
        <f>-10*LOG((10^(-K15/10)+10^(-K16/10)+10^(-K17/10))/3)</f>
        <v>15.945460195506572</v>
      </c>
      <c r="O9" s="4">
        <f t="shared" si="1"/>
        <v>-5.3971619396090125</v>
      </c>
      <c r="P9" s="23">
        <v>4.4882109051205106</v>
      </c>
      <c r="Q9" s="4">
        <f t="shared" si="2"/>
        <v>6.7504409080506091</v>
      </c>
    </row>
    <row r="10" spans="1:21" x14ac:dyDescent="0.3">
      <c r="A10" s="7">
        <v>125</v>
      </c>
      <c r="B10" s="8">
        <v>36.526553513833278</v>
      </c>
      <c r="C10" s="8">
        <v>-16.752014761484325</v>
      </c>
      <c r="D10" s="11">
        <v>1.4093401472406359</v>
      </c>
      <c r="E10" s="8">
        <v>-6.0274792761132963</v>
      </c>
      <c r="F10" s="8">
        <v>3.2025898728115978</v>
      </c>
      <c r="G10" s="11">
        <v>-0.17014443795157938</v>
      </c>
      <c r="H10" s="2">
        <f>'Coeff+Calc'!A10</f>
        <v>125</v>
      </c>
      <c r="I10" s="4">
        <f>IF(N$1&lt;&gt;0,0,IF(K$1&gt;26.25,0,IF(K$2&lt;12,0,IF($K$3&lt;12,0,IF($K$3&gt;48.1,0,('Coeff+Calc'!B10*K$4^2+'Coeff+Calc'!C10*K$4+'Coeff+Calc'!D10+K$1*('Coeff+Calc'!E10*K$4^2+'Coeff+Calc'!F10*K$4+'Coeff+Calc'!G10)))))))</f>
        <v>1.6682336316501629</v>
      </c>
      <c r="J10" s="10">
        <f t="shared" si="0"/>
        <v>125</v>
      </c>
      <c r="K10" s="4">
        <f>IF(K11=0,0,IF(I10&lt;0,0,IF(I10&gt;50,50,I10)))</f>
        <v>1.6682336316501629</v>
      </c>
      <c r="L10" s="4"/>
      <c r="M10" s="2">
        <v>1000</v>
      </c>
      <c r="N10" s="4">
        <f>-10*LOG((10^(-K18/10)+10^(-K19/10)+10^(-K20/10))/3)</f>
        <v>27.092728931449479</v>
      </c>
      <c r="O10" s="4">
        <f t="shared" si="1"/>
        <v>9.1463307372921188E-2</v>
      </c>
      <c r="P10" s="23">
        <v>0.47258678112056507</v>
      </c>
      <c r="Q10" s="4">
        <f t="shared" si="2"/>
        <v>3.2450039559274044</v>
      </c>
    </row>
    <row r="11" spans="1:21" x14ac:dyDescent="0.3">
      <c r="A11" s="7">
        <v>160</v>
      </c>
      <c r="B11" s="8">
        <v>66.444100806994683</v>
      </c>
      <c r="C11" s="8">
        <v>-19.370421371157775</v>
      </c>
      <c r="D11" s="11">
        <v>1.2633838047457338</v>
      </c>
      <c r="E11" s="8">
        <v>5.6169611101710935</v>
      </c>
      <c r="F11" s="8">
        <v>-0.90649894832849831</v>
      </c>
      <c r="G11" s="11">
        <v>0.12510653351881934</v>
      </c>
      <c r="H11" s="2">
        <f>'Coeff+Calc'!A11</f>
        <v>160</v>
      </c>
      <c r="I11" s="4">
        <f>IF(N$1&lt;&gt;0,0,IF(K$1&gt;26.25,0,IF(K$2&lt;12,0,IF($K$3&lt;12,0,IF($K$3&gt;48.1,0,('Coeff+Calc'!B11*K$4^2+'Coeff+Calc'!C11*K$4+'Coeff+Calc'!D11+K$1*('Coeff+Calc'!E11*K$4^2+'Coeff+Calc'!F11*K$4+'Coeff+Calc'!G11)))))))</f>
        <v>1.337356709932886</v>
      </c>
      <c r="J11" s="10">
        <f t="shared" si="0"/>
        <v>160</v>
      </c>
      <c r="K11" s="4">
        <f t="shared" ref="K11:K29" si="3">IF(I11&lt;0,0,IF(I11&gt;50,50,I11))</f>
        <v>1.337356709932886</v>
      </c>
      <c r="L11" s="4"/>
      <c r="M11" s="2">
        <v>2000</v>
      </c>
      <c r="N11" s="4">
        <f>-10*LOG((10^(-K21/10)+10^(-K22/10)+10^(-K23/10))/3)</f>
        <v>12.505654110519405</v>
      </c>
      <c r="O11" s="4">
        <f t="shared" si="1"/>
        <v>0.96693664152245717</v>
      </c>
      <c r="P11" s="23">
        <v>0.13848962870535045</v>
      </c>
      <c r="Q11" s="4">
        <f t="shared" si="2"/>
        <v>1.7077767783433149</v>
      </c>
    </row>
    <row r="12" spans="1:21" x14ac:dyDescent="0.3">
      <c r="A12" s="7">
        <v>200</v>
      </c>
      <c r="B12" s="8">
        <v>31.23833198693973</v>
      </c>
      <c r="C12" s="8">
        <v>-9.5999709039004966</v>
      </c>
      <c r="D12" s="11">
        <v>0.61540910149906147</v>
      </c>
      <c r="E12" s="8">
        <v>2.4715757791295871</v>
      </c>
      <c r="F12" s="8">
        <v>0.63536697165290157</v>
      </c>
      <c r="G12" s="11">
        <v>8.2470517012154146E-2</v>
      </c>
      <c r="H12" s="2">
        <f>'Coeff+Calc'!A12</f>
        <v>200</v>
      </c>
      <c r="I12" s="4">
        <f>IF(N$1&lt;&gt;0,0,IF(K$1&gt;26.25,0,IF(K$2&lt;12,0,IF($K$3&lt;12,0,IF($K$3&gt;48.1,0,('Coeff+Calc'!B12*K$4^2+'Coeff+Calc'!C12*K$4+'Coeff+Calc'!D12+K$1*('Coeff+Calc'!E12*K$4^2+'Coeff+Calc'!F12*K$4+'Coeff+Calc'!G12)))))))</f>
        <v>2.6881060136186674</v>
      </c>
      <c r="J12" s="10">
        <f t="shared" si="0"/>
        <v>200</v>
      </c>
      <c r="K12" s="4">
        <f t="shared" si="3"/>
        <v>2.6881060136186674</v>
      </c>
      <c r="L12" s="4"/>
      <c r="M12" s="2">
        <v>4000</v>
      </c>
      <c r="N12" s="4">
        <f>-10*LOG((10^(-K24/10)+10^(-K25/10)+10^(-K26/10))/3)</f>
        <v>8.9294793703019106</v>
      </c>
      <c r="O12" s="4">
        <f t="shared" si="1"/>
        <v>2.3934577232239223</v>
      </c>
      <c r="P12" s="23">
        <v>5.4805928207812063E-2</v>
      </c>
      <c r="Q12" s="4">
        <f t="shared" si="2"/>
        <v>2.9827543040134126</v>
      </c>
    </row>
    <row r="13" spans="1:21" x14ac:dyDescent="0.3">
      <c r="A13" s="7">
        <v>250</v>
      </c>
      <c r="B13" s="8">
        <v>-0.55583446763822675</v>
      </c>
      <c r="C13" s="8">
        <v>9.2305046764828827E-2</v>
      </c>
      <c r="D13" s="11">
        <v>0.14599485130690057</v>
      </c>
      <c r="E13" s="8">
        <v>-5.4623777307047083</v>
      </c>
      <c r="F13" s="8">
        <v>3.7701462415192406</v>
      </c>
      <c r="G13" s="11">
        <v>-6.7297491151010247E-2</v>
      </c>
      <c r="H13" s="2">
        <f>'Coeff+Calc'!A13</f>
        <v>250</v>
      </c>
      <c r="I13" s="4">
        <f>IF(N$1&lt;&gt;0,0,IF(K$1&gt;26.25,0,IF(K$2&lt;12,0,IF($K$3&lt;12,0,IF($K$3&gt;48.1,0,('Coeff+Calc'!B13*K$4^2+'Coeff+Calc'!C13*K$4+'Coeff+Calc'!D13+K$1*('Coeff+Calc'!E13*K$4^2+'Coeff+Calc'!F13*K$4+'Coeff+Calc'!G13)))))))</f>
        <v>4.4119520840142412</v>
      </c>
      <c r="J13" s="10">
        <f t="shared" si="0"/>
        <v>250</v>
      </c>
      <c r="K13" s="4">
        <f t="shared" si="3"/>
        <v>4.4119520840142412</v>
      </c>
      <c r="L13" s="4"/>
      <c r="M13" s="2">
        <v>8000</v>
      </c>
      <c r="N13" s="4">
        <f>-10*LOG((10^(-K27/10)+10^(-K28/10)+10^(-K29/10))/3)</f>
        <v>7.5172708254458618</v>
      </c>
      <c r="O13" s="4">
        <f t="shared" si="1"/>
        <v>4.0058338257825037</v>
      </c>
      <c r="P13" s="23">
        <v>4.6024781151094055E-2</v>
      </c>
      <c r="Q13" s="4">
        <f t="shared" si="2"/>
        <v>4.8180703422459787</v>
      </c>
    </row>
    <row r="14" spans="1:21" x14ac:dyDescent="0.3">
      <c r="A14" s="7">
        <v>315</v>
      </c>
      <c r="B14" s="8">
        <v>5.2696799144354056</v>
      </c>
      <c r="C14" s="8">
        <v>0.73357957465729806</v>
      </c>
      <c r="D14" s="11">
        <v>0.37520590852209823</v>
      </c>
      <c r="E14" s="8">
        <v>-0.24238464259616826</v>
      </c>
      <c r="F14" s="8">
        <v>1.9398413339519645</v>
      </c>
      <c r="G14" s="11">
        <v>0.21805074265567681</v>
      </c>
      <c r="H14" s="2">
        <f>'Coeff+Calc'!A14</f>
        <v>315</v>
      </c>
      <c r="I14" s="4">
        <f>IF(N$1&lt;&gt;0,0,IF(K$1&gt;26.25,0,IF(K$2&lt;12,0,IF($K$3&lt;12,0,IF($K$3&gt;48.1,0,('Coeff+Calc'!B14*K$4^2+'Coeff+Calc'!C14*K$4+'Coeff+Calc'!D14+K$1*('Coeff+Calc'!E14*K$4^2+'Coeff+Calc'!F14*K$4+'Coeff+Calc'!G14)))))))</f>
        <v>6.9807165117019885</v>
      </c>
      <c r="J14" s="10">
        <f t="shared" si="0"/>
        <v>315</v>
      </c>
      <c r="K14" s="4">
        <f t="shared" si="3"/>
        <v>6.9807165117019885</v>
      </c>
      <c r="L14" s="4"/>
      <c r="O14" s="4">
        <f t="shared" si="1"/>
        <v>5.8727932345450418</v>
      </c>
      <c r="P14" s="23">
        <v>7.9355985542436863E-2</v>
      </c>
      <c r="Q14" s="4">
        <f t="shared" si="2"/>
        <v>8.0886397888589343</v>
      </c>
    </row>
    <row r="15" spans="1:21" x14ac:dyDescent="0.3">
      <c r="A15" s="7">
        <v>400</v>
      </c>
      <c r="B15" s="8">
        <v>49.614778606325153</v>
      </c>
      <c r="C15" s="8">
        <v>-10.904269426899923</v>
      </c>
      <c r="D15" s="11">
        <v>1.9299850553042166</v>
      </c>
      <c r="E15" s="8">
        <v>-9.7547024148698487</v>
      </c>
      <c r="F15" s="8">
        <v>6.3464319431474756</v>
      </c>
      <c r="G15" s="11">
        <v>0.12975015204095341</v>
      </c>
      <c r="H15" s="2">
        <f>'Coeff+Calc'!A15</f>
        <v>400</v>
      </c>
      <c r="I15" s="4">
        <f>IF(N$1&lt;&gt;0,0,IF(K$1&gt;26.25,0,IF(K$2&lt;12,0,IF($K$3&lt;12,0,IF($K$3&gt;48.1,0,('Coeff+Calc'!B15*K$4^2+'Coeff+Calc'!C15*K$4+'Coeff+Calc'!D15+K$1*('Coeff+Calc'!E15*K$4^2+'Coeff+Calc'!F15*K$4+'Coeff+Calc'!G15)))))))</f>
        <v>12.048140173771447</v>
      </c>
      <c r="J15" s="10">
        <f t="shared" si="0"/>
        <v>400</v>
      </c>
      <c r="K15" s="4">
        <f t="shared" si="3"/>
        <v>12.048140173771447</v>
      </c>
      <c r="L15" s="4"/>
      <c r="O15" s="4">
        <f t="shared" si="1"/>
        <v>11.023114694603795</v>
      </c>
      <c r="P15" s="23">
        <v>4.2538743091614747E-2</v>
      </c>
      <c r="Q15" s="4">
        <f t="shared" si="2"/>
        <v>13.0731656529391</v>
      </c>
    </row>
    <row r="16" spans="1:21" x14ac:dyDescent="0.3">
      <c r="A16" s="7">
        <v>500</v>
      </c>
      <c r="B16" s="8">
        <v>-35.331578817906895</v>
      </c>
      <c r="C16" s="8">
        <v>19.346341914915577</v>
      </c>
      <c r="D16" s="11">
        <v>0.85234353528206253</v>
      </c>
      <c r="E16" s="8">
        <v>-8.0894510607347208</v>
      </c>
      <c r="F16" s="8">
        <v>7.3768673595044083</v>
      </c>
      <c r="G16" s="11">
        <v>0.37904365005091878</v>
      </c>
      <c r="H16" s="2">
        <f>'Coeff+Calc'!A16</f>
        <v>500</v>
      </c>
      <c r="I16" s="4">
        <f>IF(N$1&lt;&gt;0,0,IF(K$1&gt;26.25,0,IF(K$2&lt;12,0,IF($K$3&lt;12,0,IF($K$3&gt;48.1,0,('Coeff+Calc'!B16*K$4^2+'Coeff+Calc'!C16*K$4+'Coeff+Calc'!D16+K$1*('Coeff+Calc'!E16*K$4^2+'Coeff+Calc'!F16*K$4+'Coeff+Calc'!G16)))))))</f>
        <v>19.048131940841003</v>
      </c>
      <c r="J16" s="10">
        <f t="shared" si="0"/>
        <v>500</v>
      </c>
      <c r="K16" s="4">
        <f t="shared" si="3"/>
        <v>19.048131940841003</v>
      </c>
      <c r="L16" s="4"/>
      <c r="O16" s="4">
        <f t="shared" si="1"/>
        <v>15.747251673738507</v>
      </c>
      <c r="P16" s="23">
        <v>8.6645773909857657E-2</v>
      </c>
      <c r="Q16" s="4">
        <f t="shared" si="2"/>
        <v>22.349012207943499</v>
      </c>
    </row>
    <row r="17" spans="1:24" x14ac:dyDescent="0.3">
      <c r="A17" s="7">
        <v>630</v>
      </c>
      <c r="B17" s="8">
        <v>315.06032230501461</v>
      </c>
      <c r="C17" s="8">
        <v>-72.600358757136718</v>
      </c>
      <c r="D17" s="11">
        <v>6.4114705835085459</v>
      </c>
      <c r="E17" s="8">
        <v>-50.343820555062585</v>
      </c>
      <c r="F17" s="8">
        <v>21.816839459036167</v>
      </c>
      <c r="G17" s="11">
        <v>-6.0737225222911251E-2</v>
      </c>
      <c r="H17" s="2">
        <f>'Coeff+Calc'!A17</f>
        <v>630</v>
      </c>
      <c r="I17" s="4">
        <f>IF(N$1&lt;&gt;0,0,IF(K$1&gt;26.25,0,IF(K$2&lt;12,0,IF($K$3&lt;12,0,IF($K$3&gt;48.1,0,('Coeff+Calc'!B17*K$4^2+'Coeff+Calc'!C17*K$4+'Coeff+Calc'!D17+K$1*('Coeff+Calc'!E17*K$4^2+'Coeff+Calc'!F17*K$4+'Coeff+Calc'!G17)))))))</f>
        <v>28.361808651272629</v>
      </c>
      <c r="J17" s="10">
        <f t="shared" si="0"/>
        <v>630</v>
      </c>
      <c r="K17" s="4">
        <f t="shared" si="3"/>
        <v>28.361808651272629</v>
      </c>
      <c r="L17" s="4"/>
      <c r="O17" s="4">
        <f t="shared" si="1"/>
        <v>25.687343209291814</v>
      </c>
      <c r="P17" s="23">
        <v>4.7149063638097864E-2</v>
      </c>
      <c r="Q17" s="4">
        <f t="shared" si="2"/>
        <v>31.036274093253443</v>
      </c>
    </row>
    <row r="18" spans="1:24" x14ac:dyDescent="0.3">
      <c r="A18" s="7">
        <v>800</v>
      </c>
      <c r="B18" s="8">
        <v>466.50941816226475</v>
      </c>
      <c r="C18" s="8">
        <v>-140.84894325092179</v>
      </c>
      <c r="D18" s="11">
        <v>13.388383385812805</v>
      </c>
      <c r="E18" s="8">
        <v>-103.73988196969681</v>
      </c>
      <c r="F18" s="8">
        <v>45.459374723218644</v>
      </c>
      <c r="G18" s="11">
        <v>-1.8652455651373212</v>
      </c>
      <c r="H18" s="2">
        <f>'Coeff+Calc'!A18</f>
        <v>800</v>
      </c>
      <c r="I18" s="4">
        <f>IF(N$1&lt;&gt;0,0,IF(K$1&gt;26.25,0,IF(K$2&lt;12,0,IF($K$3&lt;12,0,IF($K$3&gt;48.1,0,('Coeff+Calc'!B18*K$4^2+'Coeff+Calc'!C18*K$4+'Coeff+Calc'!D18+K$1*('Coeff+Calc'!E18*K$4^2+'Coeff+Calc'!F18*K$4+'Coeff+Calc'!G18)))))))</f>
        <v>32.073728143234874</v>
      </c>
      <c r="J18" s="10">
        <f t="shared" si="0"/>
        <v>800</v>
      </c>
      <c r="K18" s="4">
        <f t="shared" si="3"/>
        <v>32.073728143234874</v>
      </c>
      <c r="L18" s="4"/>
      <c r="O18" s="4">
        <f t="shared" si="1"/>
        <v>26.98300182422707</v>
      </c>
      <c r="P18" s="23">
        <v>7.9359753507194972E-2</v>
      </c>
      <c r="Q18" s="4">
        <f t="shared" si="2"/>
        <v>37.164454462242674</v>
      </c>
    </row>
    <row r="19" spans="1:24" x14ac:dyDescent="0.3">
      <c r="A19" s="7">
        <v>1000</v>
      </c>
      <c r="B19" s="8">
        <v>138.98563219319115</v>
      </c>
      <c r="C19" s="8">
        <v>-28.912855380887184</v>
      </c>
      <c r="D19" s="11">
        <v>7.222318894407338</v>
      </c>
      <c r="E19" s="8">
        <v>-98.377408285800229</v>
      </c>
      <c r="F19" s="8">
        <v>55.817392298689178</v>
      </c>
      <c r="G19" s="11">
        <v>-3.4497297246263861</v>
      </c>
      <c r="H19" s="2">
        <f>'Coeff+Calc'!A19</f>
        <v>1000</v>
      </c>
      <c r="I19" s="4">
        <f>IF(N$1&lt;&gt;0,0,IF(K$1&gt;26.25,0,IF(K$2&lt;12,0,IF($K$3&lt;12,0,IF($K$3&gt;48.1,0,('Coeff+Calc'!B19*K$4^2+'Coeff+Calc'!C19*K$4+'Coeff+Calc'!D19+K$1*('Coeff+Calc'!E19*K$4^2+'Coeff+Calc'!F19*K$4+'Coeff+Calc'!G19)))))))</f>
        <v>28.790654133668856</v>
      </c>
      <c r="J19" s="10">
        <f t="shared" si="0"/>
        <v>1000</v>
      </c>
      <c r="K19" s="4">
        <f t="shared" si="3"/>
        <v>28.790654133668856</v>
      </c>
      <c r="L19" s="4"/>
      <c r="O19" s="4">
        <f t="shared" si="1"/>
        <v>24.348354462852022</v>
      </c>
      <c r="P19" s="23">
        <v>7.7148293508584126E-2</v>
      </c>
      <c r="Q19" s="4">
        <f t="shared" si="2"/>
        <v>33.232953804485689</v>
      </c>
    </row>
    <row r="20" spans="1:24" x14ac:dyDescent="0.3">
      <c r="A20" s="7">
        <v>1250</v>
      </c>
      <c r="B20" s="8">
        <v>181.76168734265323</v>
      </c>
      <c r="C20" s="8">
        <v>-28.140475156566573</v>
      </c>
      <c r="D20" s="11">
        <v>7.2381415341602136</v>
      </c>
      <c r="E20" s="8">
        <v>-33.717179203124196</v>
      </c>
      <c r="F20" s="8">
        <v>35.709132037576047</v>
      </c>
      <c r="G20" s="11">
        <v>-2.3704818513023174</v>
      </c>
      <c r="H20" s="2">
        <f>'Coeff+Calc'!A20</f>
        <v>1250</v>
      </c>
      <c r="I20" s="4">
        <f>IF(N$1&lt;&gt;0,0,IF(K$1&gt;26.25,0,IF(K$2&lt;12,0,IF($K$3&lt;12,0,IF($K$3&gt;48.1,0,('Coeff+Calc'!B20*K$4^2+'Coeff+Calc'!C20*K$4+'Coeff+Calc'!D20+K$1*('Coeff+Calc'!E20*K$4^2+'Coeff+Calc'!F20*K$4+'Coeff+Calc'!G20)))))))</f>
        <v>24.069463739433566</v>
      </c>
      <c r="J20" s="10">
        <f t="shared" si="0"/>
        <v>1250</v>
      </c>
      <c r="K20" s="4">
        <f t="shared" si="3"/>
        <v>24.069463739433566</v>
      </c>
      <c r="L20" s="4"/>
      <c r="O20" s="4">
        <f t="shared" si="1"/>
        <v>18.512053658776686</v>
      </c>
      <c r="P20" s="23">
        <v>0.11544524092474992</v>
      </c>
      <c r="Q20" s="4">
        <f t="shared" si="2"/>
        <v>29.626873820090445</v>
      </c>
    </row>
    <row r="21" spans="1:24" x14ac:dyDescent="0.3">
      <c r="A21" s="7">
        <v>1600</v>
      </c>
      <c r="B21" s="8">
        <v>-177.45919715982018</v>
      </c>
      <c r="C21" s="8">
        <v>92.467152109047532</v>
      </c>
      <c r="D21" s="11">
        <v>-1.698278041437483</v>
      </c>
      <c r="E21" s="8">
        <v>102.26192638171139</v>
      </c>
      <c r="F21" s="8">
        <v>-11.916574309783051</v>
      </c>
      <c r="G21" s="11">
        <v>0.71119978000184636</v>
      </c>
      <c r="H21" s="2">
        <f>'Coeff+Calc'!A21</f>
        <v>1600</v>
      </c>
      <c r="I21" s="4">
        <f>IF(N$1&lt;&gt;0,0,IF(K$1&gt;26.25,0,IF(K$2&lt;12,0,IF($K$3&lt;12,0,IF($K$3&gt;48.1,0,('Coeff+Calc'!B21*K$4^2+'Coeff+Calc'!C21*K$4+'Coeff+Calc'!D21+K$1*('Coeff+Calc'!E21*K$4^2+'Coeff+Calc'!F21*K$4+'Coeff+Calc'!G21)))))))</f>
        <v>16.129428976202146</v>
      </c>
      <c r="J21" s="10">
        <f t="shared" si="0"/>
        <v>1600</v>
      </c>
      <c r="K21" s="4">
        <f t="shared" si="3"/>
        <v>16.129428976202146</v>
      </c>
      <c r="L21" s="4"/>
      <c r="O21" s="4">
        <f t="shared" si="1"/>
        <v>12.09200633323459</v>
      </c>
      <c r="P21" s="23">
        <v>0.12515702350419511</v>
      </c>
      <c r="Q21" s="4">
        <f t="shared" si="2"/>
        <v>20.166851619169702</v>
      </c>
    </row>
    <row r="22" spans="1:24" x14ac:dyDescent="0.3">
      <c r="A22" s="7">
        <v>2000</v>
      </c>
      <c r="B22" s="8">
        <v>46.497215627330313</v>
      </c>
      <c r="C22" s="8">
        <v>32.474241531700812</v>
      </c>
      <c r="D22" s="11">
        <v>0.96266349308065169</v>
      </c>
      <c r="E22" s="8">
        <v>30.532052423345412</v>
      </c>
      <c r="F22" s="8">
        <v>0.5188176885278718</v>
      </c>
      <c r="G22" s="11">
        <v>6.3087102545404394E-2</v>
      </c>
      <c r="H22" s="2">
        <f>'Coeff+Calc'!A22</f>
        <v>2000</v>
      </c>
      <c r="I22" s="4">
        <f>IF(N$1&lt;&gt;0,0,IF(K$1&gt;26.25,0,IF(K$2&lt;12,0,IF($K$3&lt;12,0,IF($K$3&gt;48.1,0,('Coeff+Calc'!B22*K$4^2+'Coeff+Calc'!C22*K$4+'Coeff+Calc'!D22+K$1*('Coeff+Calc'!E22*K$4^2+'Coeff+Calc'!F22*K$4+'Coeff+Calc'!G22)))))))</f>
        <v>12.610038719089884</v>
      </c>
      <c r="J22" s="10">
        <f t="shared" si="0"/>
        <v>2000</v>
      </c>
      <c r="K22" s="4">
        <f t="shared" si="3"/>
        <v>12.610038719089884</v>
      </c>
      <c r="L22" s="4"/>
      <c r="O22" s="4">
        <f t="shared" si="1"/>
        <v>9.6743854529412943</v>
      </c>
      <c r="P22" s="23">
        <v>0.11640143743985533</v>
      </c>
      <c r="Q22" s="4">
        <f t="shared" si="2"/>
        <v>15.545691985238474</v>
      </c>
    </row>
    <row r="23" spans="1:24" x14ac:dyDescent="0.3">
      <c r="A23" s="7">
        <v>2500</v>
      </c>
      <c r="B23" s="8">
        <v>-141.85749697466667</v>
      </c>
      <c r="C23" s="8">
        <v>75.128216703627032</v>
      </c>
      <c r="D23" s="11">
        <v>-1.4720165902492672</v>
      </c>
      <c r="E23" s="8">
        <v>36.513424595134161</v>
      </c>
      <c r="F23" s="8">
        <v>-3.7369504981675066</v>
      </c>
      <c r="G23" s="11">
        <v>0.32233339872391431</v>
      </c>
      <c r="H23" s="2">
        <f>'Coeff+Calc'!A23</f>
        <v>2500</v>
      </c>
      <c r="I23" s="4">
        <f>IF(N$1&lt;&gt;0,0,IF(K$1&gt;26.25,0,IF(K$2&lt;12,0,IF($K$3&lt;12,0,IF($K$3&gt;48.1,0,('Coeff+Calc'!B23*K$4^2+'Coeff+Calc'!C23*K$4+'Coeff+Calc'!D23+K$1*('Coeff+Calc'!E23*K$4^2+'Coeff+Calc'!F23*K$4+'Coeff+Calc'!G23)))))))</f>
        <v>10.492731366317788</v>
      </c>
      <c r="J23" s="10">
        <f t="shared" si="0"/>
        <v>2500</v>
      </c>
      <c r="K23" s="4">
        <f t="shared" si="3"/>
        <v>10.492731366317788</v>
      </c>
      <c r="L23" s="4"/>
      <c r="O23" s="4">
        <f t="shared" si="1"/>
        <v>7.3118747066201966</v>
      </c>
      <c r="P23" s="23">
        <v>0.15157429217659693</v>
      </c>
      <c r="Q23" s="4">
        <f t="shared" si="2"/>
        <v>13.673588026015379</v>
      </c>
    </row>
    <row r="24" spans="1:24" x14ac:dyDescent="0.3">
      <c r="A24" s="7">
        <v>3150</v>
      </c>
      <c r="B24" s="8">
        <v>-0.65380047987315104</v>
      </c>
      <c r="C24" s="8">
        <v>40.269524147461084</v>
      </c>
      <c r="D24" s="11">
        <v>-0.22321784885967028</v>
      </c>
      <c r="E24" s="8">
        <v>4.6775195387698565</v>
      </c>
      <c r="F24" s="8">
        <v>3.5282034698215754</v>
      </c>
      <c r="G24" s="11">
        <v>-7.7015458050550212E-2</v>
      </c>
      <c r="H24" s="2">
        <f>'Coeff+Calc'!A24</f>
        <v>3150</v>
      </c>
      <c r="I24" s="4">
        <f>IF(N$1&lt;&gt;0,0,IF(K$1&gt;26.25,0,IF(K$2&lt;12,0,IF($K$3&lt;12,0,IF($K$3&gt;48.1,0,('Coeff+Calc'!B24*K$4^2+'Coeff+Calc'!C24*K$4+'Coeff+Calc'!D24+K$1*('Coeff+Calc'!E24*K$4^2+'Coeff+Calc'!F24*K$4+'Coeff+Calc'!G24)))))))</f>
        <v>9.8344166798232742</v>
      </c>
      <c r="J24" s="10">
        <f t="shared" si="0"/>
        <v>3150</v>
      </c>
      <c r="K24" s="4">
        <f t="shared" si="3"/>
        <v>9.8344166798232742</v>
      </c>
      <c r="L24" s="4"/>
      <c r="O24" s="4">
        <f t="shared" si="1"/>
        <v>7.4248769982019738</v>
      </c>
      <c r="P24" s="23">
        <v>0.12250547033281692</v>
      </c>
      <c r="Q24" s="4">
        <f t="shared" si="2"/>
        <v>12.243956361444575</v>
      </c>
    </row>
    <row r="25" spans="1:24" x14ac:dyDescent="0.3">
      <c r="A25" s="7">
        <v>4000</v>
      </c>
      <c r="B25" s="8">
        <v>143.64215944238978</v>
      </c>
      <c r="C25" s="8">
        <v>1.7011890712511093</v>
      </c>
      <c r="D25" s="11">
        <v>1.1548860751996584</v>
      </c>
      <c r="E25" s="8">
        <v>-14.765329013286882</v>
      </c>
      <c r="F25" s="8">
        <v>7.584131816612997</v>
      </c>
      <c r="G25" s="11">
        <v>-0.27203335157614394</v>
      </c>
      <c r="H25" s="2">
        <f>'Coeff+Calc'!A25</f>
        <v>4000</v>
      </c>
      <c r="I25" s="4">
        <f>IF(N$1&lt;&gt;0,0,IF(K$1&gt;26.25,0,IF(K$2&lt;12,0,IF($K$3&lt;12,0,IF($K$3&gt;48.1,0,('Coeff+Calc'!B25*K$4^2+'Coeff+Calc'!C25*K$4+'Coeff+Calc'!D25+K$1*('Coeff+Calc'!E25*K$4^2+'Coeff+Calc'!F25*K$4+'Coeff+Calc'!G25)))))))</f>
        <v>8.9426663092994882</v>
      </c>
      <c r="J25" s="10">
        <f t="shared" si="0"/>
        <v>4000</v>
      </c>
      <c r="K25" s="4">
        <f t="shared" si="3"/>
        <v>8.9426663092994882</v>
      </c>
      <c r="L25" s="4"/>
      <c r="O25" s="4">
        <f t="shared" si="1"/>
        <v>5.9359833332298617</v>
      </c>
      <c r="P25" s="23">
        <v>0.1681088655261001</v>
      </c>
      <c r="Q25" s="4">
        <f t="shared" si="2"/>
        <v>11.949349285369115</v>
      </c>
    </row>
    <row r="26" spans="1:24" x14ac:dyDescent="0.3">
      <c r="A26" s="7">
        <v>5000</v>
      </c>
      <c r="B26" s="8">
        <v>146.52908286490447</v>
      </c>
      <c r="C26" s="8">
        <v>-16.380195036430834</v>
      </c>
      <c r="D26" s="11">
        <v>2.7215546034843028</v>
      </c>
      <c r="E26" s="8">
        <v>-11.852600040752064</v>
      </c>
      <c r="F26" s="8">
        <v>7.9677241458272912</v>
      </c>
      <c r="G26" s="11">
        <v>-0.37501611188584544</v>
      </c>
      <c r="H26" s="2">
        <f>'Coeff+Calc'!A26</f>
        <v>5000</v>
      </c>
      <c r="I26" s="4">
        <f>IF(N$1&lt;&gt;0,0,IF(K$1&gt;26.25,0,IF(K$2&lt;12,0,IF($K$3&lt;12,0,IF($K$3&gt;48.1,0,('Coeff+Calc'!B26*K$4^2+'Coeff+Calc'!C26*K$4+'Coeff+Calc'!D26+K$1*('Coeff+Calc'!E26*K$4^2+'Coeff+Calc'!F26*K$4+'Coeff+Calc'!G26)))))))</f>
        <v>8.1699065870784757</v>
      </c>
      <c r="J26" s="10">
        <f t="shared" si="0"/>
        <v>5000</v>
      </c>
      <c r="K26" s="4">
        <f t="shared" si="3"/>
        <v>8.1699065870784757</v>
      </c>
      <c r="L26" s="4"/>
      <c r="O26" s="4">
        <f t="shared" si="1"/>
        <v>3.9028153019882552</v>
      </c>
      <c r="P26" s="23">
        <v>0.26114688335843717</v>
      </c>
      <c r="Q26" s="4">
        <f t="shared" si="2"/>
        <v>12.436997872168696</v>
      </c>
    </row>
    <row r="27" spans="1:24" x14ac:dyDescent="0.3">
      <c r="A27" s="7">
        <v>6300</v>
      </c>
      <c r="B27" s="8">
        <v>69.23716406806183</v>
      </c>
      <c r="C27" s="8">
        <v>9.5502335464337786</v>
      </c>
      <c r="D27" s="11">
        <v>0.59425786026127403</v>
      </c>
      <c r="E27" s="8">
        <v>-11.843591601988674</v>
      </c>
      <c r="F27" s="8">
        <v>7.6201575879632628</v>
      </c>
      <c r="G27" s="11">
        <v>-0.3456903344850501</v>
      </c>
      <c r="H27" s="2">
        <f>'Coeff+Calc'!A27</f>
        <v>6300</v>
      </c>
      <c r="I27" s="4">
        <f>IF(N$1&lt;&gt;0,0,IF(K$1&gt;26.25,0,IF(K$2&lt;12,0,IF($K$3&lt;12,0,IF($K$3&gt;48.1,0,('Coeff+Calc'!B27*K$4^2+'Coeff+Calc'!C27*K$4+'Coeff+Calc'!D27+K$1*('Coeff+Calc'!E27*K$4^2+'Coeff+Calc'!F27*K$4+'Coeff+Calc'!G27)))))))</f>
        <v>7.8318246495432531</v>
      </c>
      <c r="J27" s="10">
        <f t="shared" si="0"/>
        <v>6300</v>
      </c>
      <c r="K27" s="4">
        <f t="shared" si="3"/>
        <v>7.8318246495432531</v>
      </c>
      <c r="L27" s="4"/>
      <c r="O27" s="4">
        <f t="shared" si="1"/>
        <v>3.3300698667410584</v>
      </c>
      <c r="P27" s="23">
        <v>0.28740140288155802</v>
      </c>
      <c r="Q27" s="4">
        <f t="shared" si="2"/>
        <v>12.333579432345449</v>
      </c>
    </row>
    <row r="28" spans="1:24" x14ac:dyDescent="0.3">
      <c r="A28" s="7">
        <v>8000</v>
      </c>
      <c r="B28" s="8">
        <v>60.610798339356521</v>
      </c>
      <c r="C28" s="8">
        <v>15.690350114327886</v>
      </c>
      <c r="D28" s="11">
        <v>5.6944259057730706E-2</v>
      </c>
      <c r="E28" s="8">
        <v>-16.490796223238949</v>
      </c>
      <c r="F28" s="8">
        <v>8.4168436747547428</v>
      </c>
      <c r="G28" s="11">
        <v>-0.40825402302290731</v>
      </c>
      <c r="H28" s="2">
        <f>'Coeff+Calc'!A28</f>
        <v>8000</v>
      </c>
      <c r="I28" s="4">
        <f>IF(N$1&lt;&gt;0,0,IF(K$1&gt;26.25,0,IF(K$2&lt;12,0,IF($K$3&lt;12,0,IF($K$3&gt;48.1,0,('Coeff+Calc'!B28*K$4^2+'Coeff+Calc'!C28*K$4+'Coeff+Calc'!D28+K$1*('Coeff+Calc'!E28*K$4^2+'Coeff+Calc'!F28*K$4+'Coeff+Calc'!G28)))))))</f>
        <v>7.3990092484253989</v>
      </c>
      <c r="J28" s="10">
        <f t="shared" si="0"/>
        <v>8000</v>
      </c>
      <c r="K28" s="4">
        <f t="shared" si="3"/>
        <v>7.3990092484253989</v>
      </c>
      <c r="L28" s="4"/>
      <c r="O28" s="4">
        <f t="shared" si="1"/>
        <v>3.06076769774202</v>
      </c>
      <c r="P28" s="23">
        <v>0.29316367942144489</v>
      </c>
      <c r="Q28" s="4">
        <f t="shared" si="2"/>
        <v>11.737250799108779</v>
      </c>
    </row>
    <row r="29" spans="1:24" x14ac:dyDescent="0.3">
      <c r="A29" s="12">
        <v>10000</v>
      </c>
      <c r="B29" s="13">
        <v>29.699229212491499</v>
      </c>
      <c r="C29" s="13">
        <v>29.273487023566208</v>
      </c>
      <c r="D29" s="14">
        <v>-0.91913145687850917</v>
      </c>
      <c r="E29" s="13">
        <v>-17.673394889831133</v>
      </c>
      <c r="F29" s="13">
        <v>8.3423321076991765</v>
      </c>
      <c r="G29" s="14">
        <v>-0.39957826044690758</v>
      </c>
      <c r="H29" s="2">
        <f>'Coeff+Calc'!A29</f>
        <v>10000</v>
      </c>
      <c r="I29" s="4">
        <f>IF(N$1&lt;&gt;0,0,IF(K$1&gt;26.25,0,IF(K$2&lt;12,0,IF($K$3&lt;12,0,IF($K$3&gt;48.1,0,('Coeff+Calc'!B29*K$4^2+'Coeff+Calc'!C29*K$4+'Coeff+Calc'!D29+K$1*('Coeff+Calc'!E29*K$4^2+'Coeff+Calc'!F29*K$4+'Coeff+Calc'!G29)))))))</f>
        <v>7.3374973971155208</v>
      </c>
      <c r="J29" s="10">
        <f t="shared" si="0"/>
        <v>10000</v>
      </c>
      <c r="K29" s="4">
        <f t="shared" si="3"/>
        <v>7.3374973971155208</v>
      </c>
      <c r="L29" s="4"/>
      <c r="O29" s="4">
        <f t="shared" si="1"/>
        <v>3.1165531080348465</v>
      </c>
      <c r="P29" s="23">
        <v>0.28762833297494528</v>
      </c>
      <c r="Q29" s="4">
        <f t="shared" si="2"/>
        <v>11.558441686196195</v>
      </c>
    </row>
    <row r="31" spans="1:24" x14ac:dyDescent="0.3">
      <c r="A31" s="2"/>
      <c r="B31" s="3"/>
      <c r="C31" s="15"/>
      <c r="D31" s="3"/>
      <c r="E31" s="3"/>
      <c r="F31" s="3"/>
      <c r="G31" s="2"/>
      <c r="H31" s="2"/>
      <c r="I31" s="107"/>
      <c r="K31" s="2"/>
      <c r="N31" s="2"/>
      <c r="O31" s="4"/>
    </row>
    <row r="32" spans="1:24" x14ac:dyDescent="0.3">
      <c r="A32" s="2"/>
      <c r="B32" s="2"/>
      <c r="C32" s="16"/>
      <c r="D32" s="2"/>
      <c r="E32" s="2"/>
      <c r="F32" s="2"/>
      <c r="G32" s="2" t="s">
        <v>22</v>
      </c>
      <c r="H32" s="2"/>
      <c r="I32" s="107"/>
      <c r="J32" s="2"/>
      <c r="K32" s="2"/>
      <c r="M32" s="2"/>
      <c r="N32" s="2"/>
      <c r="O32" s="2"/>
      <c r="P32" s="2"/>
      <c r="Q32" s="2"/>
      <c r="S32" s="2"/>
      <c r="T32" s="2"/>
      <c r="U32" s="2"/>
      <c r="V32" s="2"/>
      <c r="W32" s="2"/>
      <c r="X32" s="2"/>
    </row>
    <row r="33" spans="1:24" x14ac:dyDescent="0.3">
      <c r="A33" s="2"/>
      <c r="B33" s="2"/>
      <c r="C33" s="2"/>
      <c r="D33" s="2"/>
      <c r="E33" s="2"/>
      <c r="F33" s="2"/>
      <c r="G33" s="2"/>
      <c r="H33" s="2"/>
      <c r="I33" s="107"/>
      <c r="J33" s="2"/>
      <c r="K33" s="2"/>
      <c r="M33" s="2"/>
      <c r="N33" s="2"/>
      <c r="O33" s="2"/>
      <c r="P33" s="2"/>
      <c r="Q33" s="2"/>
      <c r="S33" s="2"/>
      <c r="T33" s="2"/>
      <c r="U33" s="2"/>
      <c r="V33" s="2"/>
      <c r="W33" s="2"/>
      <c r="X33" s="2"/>
    </row>
    <row r="34" spans="1:24" x14ac:dyDescent="0.3">
      <c r="A34" s="2"/>
      <c r="B34" s="5"/>
      <c r="C34" s="2"/>
      <c r="D34" s="22"/>
      <c r="E34" s="1"/>
      <c r="F34" s="2"/>
      <c r="G34" s="2"/>
      <c r="H34" s="2"/>
      <c r="I34" s="107"/>
      <c r="J34" s="2"/>
      <c r="K34" s="2"/>
      <c r="L34" s="3"/>
      <c r="M34" s="2"/>
      <c r="N34" s="3"/>
      <c r="O34" s="25"/>
      <c r="P34" s="24"/>
      <c r="Q34" s="25"/>
      <c r="R34" s="3"/>
    </row>
    <row r="35" spans="1:24" x14ac:dyDescent="0.3">
      <c r="A35" s="6" t="s">
        <v>5</v>
      </c>
      <c r="B35" s="6" t="s">
        <v>6</v>
      </c>
      <c r="C35" s="6" t="s">
        <v>7</v>
      </c>
      <c r="D35" s="6" t="s">
        <v>8</v>
      </c>
      <c r="E35" s="6" t="s">
        <v>9</v>
      </c>
      <c r="F35" s="6" t="s">
        <v>10</v>
      </c>
      <c r="G35" s="6" t="s">
        <v>11</v>
      </c>
      <c r="H35" s="6"/>
      <c r="I35" s="61" t="s">
        <v>15</v>
      </c>
      <c r="J35" s="61"/>
      <c r="K35" s="61"/>
      <c r="L35" s="61"/>
      <c r="M35" s="61"/>
      <c r="N35" s="61"/>
      <c r="O35" s="25" t="s">
        <v>18</v>
      </c>
      <c r="P35" s="24" t="s">
        <v>16</v>
      </c>
      <c r="Q35" s="25" t="s">
        <v>17</v>
      </c>
    </row>
    <row r="36" spans="1:24" x14ac:dyDescent="0.3">
      <c r="A36" s="7">
        <v>50</v>
      </c>
      <c r="B36" s="8">
        <v>-165.74640119356479</v>
      </c>
      <c r="C36" s="8">
        <v>74.469508012763811</v>
      </c>
      <c r="D36" s="9">
        <v>-4.9625696308174856</v>
      </c>
      <c r="E36" s="8">
        <v>-17.285486995144687</v>
      </c>
      <c r="F36" s="8">
        <v>5.3367085822322293</v>
      </c>
      <c r="G36" s="9">
        <v>-0.35284792472011328</v>
      </c>
      <c r="H36" s="16">
        <f t="shared" ref="H36:H59" si="4">A36</f>
        <v>50</v>
      </c>
      <c r="I36" s="4">
        <f>IF(N$1&lt;&gt;0,0,IF(K$1&gt;26.25,0,IF(K$2&lt;12,0,IF($K$3&lt;12,0,IF($K$3&gt;48.1,0,('Coeff+Calc'!B36*K$4^2+'Coeff+Calc'!C36*K$4+'Coeff+Calc'!D36+K$1*('Coeff+Calc'!E36*K$4^2+'Coeff+Calc'!F36*K$4+'Coeff+Calc'!G36)))))))</f>
        <v>1.6663476044979757</v>
      </c>
      <c r="J36" s="10">
        <f t="shared" ref="J36:J59" si="5">H36</f>
        <v>50</v>
      </c>
      <c r="K36" s="4">
        <f>IF(K37=0,0,IF(I36&lt;0,0,IF(I36&gt;50,50,I36)))</f>
        <v>1.6663476044979757</v>
      </c>
      <c r="L36" s="4"/>
      <c r="M36" s="2">
        <v>63</v>
      </c>
      <c r="N36" s="4">
        <f>-10*LOG((10^(-K36/10)+10^(-K37/10)+10^(-K38/10))/3)</f>
        <v>0.83820523181241391</v>
      </c>
      <c r="O36" s="4">
        <f t="shared" ref="O36:O59" si="6">$K36-2*$P36*$K36</f>
        <v>-4.0600849547726714</v>
      </c>
      <c r="P36" s="23">
        <v>1.7182587065907722</v>
      </c>
      <c r="Q36" s="4">
        <f t="shared" ref="Q36:Q59" si="7">$K36+2*$P36*$K36</f>
        <v>7.3927801637686219</v>
      </c>
    </row>
    <row r="37" spans="1:24" x14ac:dyDescent="0.3">
      <c r="A37" s="7">
        <v>63</v>
      </c>
      <c r="B37" s="8">
        <v>22.909851588155558</v>
      </c>
      <c r="C37" s="8">
        <v>-7.5573783062246953</v>
      </c>
      <c r="D37" s="11">
        <v>0.41543003428997227</v>
      </c>
      <c r="E37" s="8">
        <v>-12.561248547761258</v>
      </c>
      <c r="F37" s="8">
        <v>3.5847747421386766</v>
      </c>
      <c r="G37" s="11">
        <v>-0.18562486232785103</v>
      </c>
      <c r="H37" s="2">
        <f t="shared" si="4"/>
        <v>63</v>
      </c>
      <c r="I37" s="4">
        <f>IF(N$1&lt;&gt;0,0,IF(K$1&gt;26.25,0,IF(K$2&lt;12,0,IF($K$3&lt;12,0,IF($K$3&gt;48.1,0,('Coeff+Calc'!B37*K$4^2+'Coeff+Calc'!C37*K$4+'Coeff+Calc'!D37+K$1*('Coeff+Calc'!E37*K$4^2+'Coeff+Calc'!F37*K$4+'Coeff+Calc'!G37)))))))</f>
        <v>0.72265350436524145</v>
      </c>
      <c r="J37" s="10">
        <f t="shared" si="5"/>
        <v>63</v>
      </c>
      <c r="K37" s="4">
        <f>IF(K38=0,0,IF(I37&lt;0,0,IF(I37&gt;50,50,I37)))</f>
        <v>0.72265350436524145</v>
      </c>
      <c r="L37" s="4"/>
      <c r="M37" s="2">
        <v>125</v>
      </c>
      <c r="N37" s="4">
        <f>-10*LOG((10^(-K39/10)+10^(-K40/10)+10^(-K41/10))/3)</f>
        <v>3.5116316476559346</v>
      </c>
      <c r="O37" s="4">
        <f t="shared" si="6"/>
        <v>-5.8187822872629731</v>
      </c>
      <c r="P37" s="23">
        <v>4.5259835814219347</v>
      </c>
      <c r="Q37" s="4">
        <f t="shared" si="7"/>
        <v>7.2640892959934558</v>
      </c>
      <c r="R37" s="2"/>
    </row>
    <row r="38" spans="1:24" x14ac:dyDescent="0.3">
      <c r="A38" s="7">
        <v>80</v>
      </c>
      <c r="B38" s="8">
        <v>-102.51195275651702</v>
      </c>
      <c r="C38" s="8">
        <v>36.096902062084148</v>
      </c>
      <c r="D38" s="11">
        <v>-2.5783288295859839</v>
      </c>
      <c r="E38" s="8">
        <v>30.509835677014845</v>
      </c>
      <c r="F38" s="8">
        <v>-8.8163134193763835</v>
      </c>
      <c r="G38" s="11">
        <v>0.60806293646214993</v>
      </c>
      <c r="H38" s="2">
        <f t="shared" si="4"/>
        <v>80</v>
      </c>
      <c r="I38" s="4">
        <f>IF(N$1&lt;&gt;0,0,IF(K$1&gt;26.25,0,IF(K$2&lt;12,0,IF($K$3&lt;12,0,IF($K$3&gt;48.1,0,('Coeff+Calc'!B38*K$4^2+'Coeff+Calc'!C38*K$4+'Coeff+Calc'!D38+K$1*('Coeff+Calc'!E38*K$4^2+'Coeff+Calc'!F38*K$4+'Coeff+Calc'!G38)))))))</f>
        <v>0.24391632032961408</v>
      </c>
      <c r="J38" s="10">
        <f t="shared" si="5"/>
        <v>80</v>
      </c>
      <c r="K38" s="4">
        <f>IF(K39=0,0,IF(I38&lt;0,0,IF(I38&gt;50,50,I38)))</f>
        <v>0.24391632032961408</v>
      </c>
      <c r="L38" s="4"/>
      <c r="M38" s="2">
        <v>250</v>
      </c>
      <c r="N38" s="4">
        <f>-10*LOG((10^(-K42/10)+10^(-K43/10)+10^(-K44/10))/3)</f>
        <v>13.11404325969958</v>
      </c>
      <c r="O38" s="4">
        <f t="shared" si="6"/>
        <v>-0.17115986351903029</v>
      </c>
      <c r="P38" s="23">
        <v>0.85085775172349065</v>
      </c>
      <c r="Q38" s="4">
        <f t="shared" si="7"/>
        <v>0.6589925041782585</v>
      </c>
      <c r="R38" s="2"/>
    </row>
    <row r="39" spans="1:24" x14ac:dyDescent="0.3">
      <c r="A39" s="7">
        <v>100</v>
      </c>
      <c r="B39" s="8">
        <v>-30.191381513265512</v>
      </c>
      <c r="C39" s="8">
        <v>18.79592904055367</v>
      </c>
      <c r="D39" s="11">
        <v>-1.5360155801614805</v>
      </c>
      <c r="E39" s="8">
        <v>-15.565704973683749</v>
      </c>
      <c r="F39" s="8">
        <v>4.5514686671672138</v>
      </c>
      <c r="G39" s="11">
        <v>-0.18352380669344576</v>
      </c>
      <c r="H39" s="2">
        <f t="shared" si="4"/>
        <v>100</v>
      </c>
      <c r="I39" s="4">
        <f>IF(N$1&lt;&gt;0,0,IF(K$1&gt;26.25,0,IF(K$2&lt;12,0,IF($K$3&lt;12,0,IF($K$3&gt;48.1,0,('Coeff+Calc'!B39*K$4^2+'Coeff+Calc'!C39*K$4+'Coeff+Calc'!D39+K$1*('Coeff+Calc'!E39*K$4^2+'Coeff+Calc'!F39*K$4+'Coeff+Calc'!G39)))))))</f>
        <v>2.1300739282520809</v>
      </c>
      <c r="J39" s="10">
        <f t="shared" si="5"/>
        <v>100</v>
      </c>
      <c r="K39" s="4">
        <f>IF(K40=0,0,IF(I39&lt;0,0,IF(I39&gt;50,50,I39)))</f>
        <v>2.1300739282520809</v>
      </c>
      <c r="L39" s="4"/>
      <c r="M39" s="2">
        <v>500</v>
      </c>
      <c r="N39" s="4">
        <f>-10*LOG((10^(-K45/10)+10^(-K46/10)+10^(-K47/10))/3)</f>
        <v>35.696535317003523</v>
      </c>
      <c r="O39" s="4">
        <f t="shared" si="6"/>
        <v>0.18520141566383308</v>
      </c>
      <c r="P39" s="23">
        <v>0.45652699814606723</v>
      </c>
      <c r="Q39" s="4">
        <f t="shared" si="7"/>
        <v>4.0749464408403284</v>
      </c>
      <c r="R39" s="2"/>
    </row>
    <row r="40" spans="1:24" x14ac:dyDescent="0.3">
      <c r="A40" s="7">
        <v>125</v>
      </c>
      <c r="B40" s="8">
        <v>68.942307165409204</v>
      </c>
      <c r="C40" s="8">
        <v>-22.910531008365258</v>
      </c>
      <c r="D40" s="11">
        <v>1.7946894343029549</v>
      </c>
      <c r="E40" s="8">
        <v>-2.9540015236117219</v>
      </c>
      <c r="F40" s="8">
        <v>3.2226012968140205</v>
      </c>
      <c r="G40" s="11">
        <v>-6.22070685444822E-2</v>
      </c>
      <c r="H40" s="2">
        <f t="shared" si="4"/>
        <v>125</v>
      </c>
      <c r="I40" s="4">
        <f>IF(N$1&lt;&gt;0,0,IF(K$1&gt;26.25,0,IF(K$2&lt;12,0,IF($K$3&lt;12,0,IF($K$3&gt;48.1,0,('Coeff+Calc'!B40*K$4^2+'Coeff+Calc'!C40*K$4+'Coeff+Calc'!D40+K$1*('Coeff+Calc'!E40*K$4^2+'Coeff+Calc'!F40*K$4+'Coeff+Calc'!G40)))))))</f>
        <v>3.9910732864547196</v>
      </c>
      <c r="J40" s="10">
        <f t="shared" si="5"/>
        <v>125</v>
      </c>
      <c r="K40" s="4">
        <f>IF(K41=0,0,IF(I40&lt;0,0,IF(I40&gt;50,50,I40)))</f>
        <v>3.9910732864547196</v>
      </c>
      <c r="L40" s="4"/>
      <c r="M40" s="2">
        <v>1000</v>
      </c>
      <c r="N40" s="4">
        <f>-10*LOG((10^(-K48/10)+10^(-K49/10)+10^(-K50/10))/3)</f>
        <v>20.532342879082378</v>
      </c>
      <c r="O40" s="4">
        <f t="shared" si="6"/>
        <v>2.4434888844239646</v>
      </c>
      <c r="P40" s="23">
        <v>0.19388072968781267</v>
      </c>
      <c r="Q40" s="4">
        <f t="shared" si="7"/>
        <v>5.5386576884854746</v>
      </c>
      <c r="R40" s="2"/>
    </row>
    <row r="41" spans="1:24" x14ac:dyDescent="0.3">
      <c r="A41" s="7">
        <v>160</v>
      </c>
      <c r="B41" s="8">
        <v>94.417027257806254</v>
      </c>
      <c r="C41" s="8">
        <v>-23.302634660251542</v>
      </c>
      <c r="D41" s="11">
        <v>1.5466342698891569</v>
      </c>
      <c r="E41" s="8">
        <v>2.5204091961514945</v>
      </c>
      <c r="F41" s="8">
        <v>1.0514030965795726</v>
      </c>
      <c r="G41" s="11">
        <v>0.16908767635462135</v>
      </c>
      <c r="H41" s="2">
        <f t="shared" si="4"/>
        <v>160</v>
      </c>
      <c r="I41" s="4">
        <f>IF(N$1&lt;&gt;0,0,IF(K$1&gt;26.25,0,IF(K$2&lt;12,0,IF($K$3&lt;12,0,IF($K$3&gt;48.1,0,('Coeff+Calc'!B41*K$4^2+'Coeff+Calc'!C41*K$4+'Coeff+Calc'!D41+K$1*('Coeff+Calc'!E41*K$4^2+'Coeff+Calc'!F41*K$4+'Coeff+Calc'!G41)))))))</f>
        <v>4.8784910361474534</v>
      </c>
      <c r="J41" s="10">
        <f t="shared" si="5"/>
        <v>160</v>
      </c>
      <c r="K41" s="4">
        <f t="shared" ref="K41:K59" si="8">IF(I41&lt;0,0,IF(I41&gt;50,50,I41))</f>
        <v>4.8784910361474534</v>
      </c>
      <c r="L41" s="4"/>
      <c r="M41" s="2">
        <v>2000</v>
      </c>
      <c r="N41" s="4">
        <f>-10*LOG((10^(-K51/10)+10^(-K52/10)+10^(-K53/10))/3)</f>
        <v>11.64424120599511</v>
      </c>
      <c r="O41" s="4">
        <f t="shared" si="6"/>
        <v>3.0458565053798337</v>
      </c>
      <c r="P41" s="23">
        <v>0.18782801046354408</v>
      </c>
      <c r="Q41" s="4">
        <f t="shared" si="7"/>
        <v>6.7111255669150731</v>
      </c>
      <c r="R41" s="2"/>
    </row>
    <row r="42" spans="1:24" x14ac:dyDescent="0.3">
      <c r="A42" s="7">
        <v>200</v>
      </c>
      <c r="B42" s="8">
        <v>93.317493123032335</v>
      </c>
      <c r="C42" s="8">
        <v>-31.32563823408508</v>
      </c>
      <c r="D42" s="11">
        <v>2.6213550160871759</v>
      </c>
      <c r="E42" s="8">
        <v>-6.9890005545251048</v>
      </c>
      <c r="F42" s="8">
        <v>5.7014358368368638</v>
      </c>
      <c r="G42" s="11">
        <v>8.7697380721454721E-2</v>
      </c>
      <c r="H42" s="2">
        <f t="shared" si="4"/>
        <v>200</v>
      </c>
      <c r="I42" s="4">
        <f>IF(N$1&lt;&gt;0,0,IF(K$1&gt;26.25,0,IF(K$2&lt;12,0,IF($K$3&lt;12,0,IF($K$3&gt;48.1,0,('Coeff+Calc'!B42*K$4^2+'Coeff+Calc'!C42*K$4+'Coeff+Calc'!D42+K$1*('Coeff+Calc'!E42*K$4^2+'Coeff+Calc'!F42*K$4+'Coeff+Calc'!G42)))))))</f>
        <v>9.8163907722345112</v>
      </c>
      <c r="J42" s="10">
        <f t="shared" si="5"/>
        <v>200</v>
      </c>
      <c r="K42" s="4">
        <f t="shared" si="8"/>
        <v>9.8163907722345112</v>
      </c>
      <c r="L42" s="4"/>
      <c r="M42" s="2">
        <v>4000</v>
      </c>
      <c r="N42" s="4">
        <f>-10*LOG((10^(-K54/10)+10^(-K55/10)+10^(-K56/10))/3)</f>
        <v>9.588081403473641</v>
      </c>
      <c r="O42" s="4">
        <f t="shared" si="6"/>
        <v>6.9370029124216925</v>
      </c>
      <c r="P42" s="23">
        <v>0.14666224718544807</v>
      </c>
      <c r="Q42" s="4">
        <f t="shared" si="7"/>
        <v>12.695778632047329</v>
      </c>
      <c r="R42" s="2"/>
    </row>
    <row r="43" spans="1:24" x14ac:dyDescent="0.3">
      <c r="A43" s="7">
        <v>250</v>
      </c>
      <c r="B43" s="8">
        <v>67.35800385002797</v>
      </c>
      <c r="C43" s="8">
        <v>-27.633284820629843</v>
      </c>
      <c r="D43" s="11">
        <v>3.0311320257064174</v>
      </c>
      <c r="E43" s="8">
        <v>-14.187027878428568</v>
      </c>
      <c r="F43" s="8">
        <v>9.6778150473710696</v>
      </c>
      <c r="G43" s="11">
        <v>1.4300673843013534E-2</v>
      </c>
      <c r="H43" s="2">
        <f t="shared" si="4"/>
        <v>250</v>
      </c>
      <c r="I43" s="4">
        <f>IF(N$1&lt;&gt;0,0,IF(K$1&gt;26.25,0,IF(K$2&lt;12,0,IF($K$3&lt;12,0,IF($K$3&gt;48.1,0,('Coeff+Calc'!B43*K$4^2+'Coeff+Calc'!C43*K$4+'Coeff+Calc'!D43+K$1*('Coeff+Calc'!E43*K$4^2+'Coeff+Calc'!F43*K$4+'Coeff+Calc'!G43)))))))</f>
        <v>14.509321808450697</v>
      </c>
      <c r="J43" s="10">
        <f t="shared" si="5"/>
        <v>250</v>
      </c>
      <c r="K43" s="4">
        <f t="shared" si="8"/>
        <v>14.509321808450697</v>
      </c>
      <c r="L43" s="4"/>
      <c r="M43" s="2">
        <v>8000</v>
      </c>
      <c r="N43" s="4">
        <f>-10*LOG((10^(-K57/10)+10^(-K58/10)+10^(-K59/10))/3)</f>
        <v>9.0970292383356828</v>
      </c>
      <c r="O43" s="4">
        <f t="shared" si="6"/>
        <v>10.095037671071633</v>
      </c>
      <c r="P43" s="23">
        <v>0.15211889968585721</v>
      </c>
      <c r="Q43" s="4">
        <f t="shared" si="7"/>
        <v>18.92360594582976</v>
      </c>
    </row>
    <row r="44" spans="1:24" x14ac:dyDescent="0.3">
      <c r="A44" s="7">
        <v>315</v>
      </c>
      <c r="B44" s="8">
        <v>190.61763717744125</v>
      </c>
      <c r="C44" s="8">
        <v>-65.255375519724907</v>
      </c>
      <c r="D44" s="11">
        <v>6.9660025401850962</v>
      </c>
      <c r="E44" s="8">
        <v>-17.36670943428684</v>
      </c>
      <c r="F44" s="8">
        <v>11.037801405451779</v>
      </c>
      <c r="G44" s="11">
        <v>0.29781543446369985</v>
      </c>
      <c r="H44" s="2">
        <f t="shared" si="4"/>
        <v>315</v>
      </c>
      <c r="I44" s="4">
        <f>IF(N$1&lt;&gt;0,0,IF(K$1&gt;26.25,0,IF(K$2&lt;12,0,IF($K$3&lt;12,0,IF($K$3&gt;48.1,0,('Coeff+Calc'!B44*K$4^2+'Coeff+Calc'!C44*K$4+'Coeff+Calc'!D44+K$1*('Coeff+Calc'!E44*K$4^2+'Coeff+Calc'!F44*K$4+'Coeff+Calc'!G44)))))))</f>
        <v>21.71621931296287</v>
      </c>
      <c r="J44" s="10">
        <f t="shared" si="5"/>
        <v>315</v>
      </c>
      <c r="K44" s="4">
        <f t="shared" si="8"/>
        <v>21.71621931296287</v>
      </c>
      <c r="L44" s="4"/>
      <c r="O44" s="4">
        <f t="shared" si="6"/>
        <v>16.070077233708616</v>
      </c>
      <c r="P44" s="23">
        <v>0.12999827451281892</v>
      </c>
      <c r="Q44" s="4">
        <f t="shared" si="7"/>
        <v>27.362361392217124</v>
      </c>
    </row>
    <row r="45" spans="1:24" x14ac:dyDescent="0.3">
      <c r="A45" s="7">
        <v>400</v>
      </c>
      <c r="B45" s="8">
        <v>25.277619893013124</v>
      </c>
      <c r="C45" s="8">
        <v>-10.543160316643844</v>
      </c>
      <c r="D45" s="11">
        <v>3.0790593480453183</v>
      </c>
      <c r="E45" s="8">
        <v>-1.8621872223185916</v>
      </c>
      <c r="F45" s="8">
        <v>8.4536506328990288</v>
      </c>
      <c r="G45" s="11">
        <v>1.0809812924041464</v>
      </c>
      <c r="H45" s="2">
        <f t="shared" si="4"/>
        <v>400</v>
      </c>
      <c r="I45" s="4">
        <f>IF(N$1&lt;&gt;0,0,IF(K$1&gt;26.25,0,IF(K$2&lt;12,0,IF($K$3&lt;12,0,IF($K$3&gt;48.1,0,('Coeff+Calc'!B45*K$4^2+'Coeff+Calc'!C45*K$4+'Coeff+Calc'!D45+K$1*('Coeff+Calc'!E45*K$4^2+'Coeff+Calc'!F45*K$4+'Coeff+Calc'!G45)))))))</f>
        <v>32.178954093981694</v>
      </c>
      <c r="J45" s="10">
        <f t="shared" si="5"/>
        <v>400</v>
      </c>
      <c r="K45" s="4">
        <f t="shared" si="8"/>
        <v>32.178954093981694</v>
      </c>
      <c r="L45" s="4"/>
      <c r="O45" s="4">
        <f t="shared" si="6"/>
        <v>29.022239197954107</v>
      </c>
      <c r="P45" s="23">
        <v>4.9049370697507803E-2</v>
      </c>
      <c r="Q45" s="4">
        <f t="shared" si="7"/>
        <v>35.335668990009282</v>
      </c>
    </row>
    <row r="46" spans="1:24" x14ac:dyDescent="0.3">
      <c r="A46" s="7">
        <v>500</v>
      </c>
      <c r="B46" s="8">
        <v>-218.59278672762659</v>
      </c>
      <c r="C46" s="8">
        <v>121.06820416034671</v>
      </c>
      <c r="D46" s="11">
        <v>-6.0103027618508813</v>
      </c>
      <c r="E46" s="8">
        <v>-11.052532341450044</v>
      </c>
      <c r="F46" s="8">
        <v>6.3191214626994654</v>
      </c>
      <c r="G46" s="11">
        <v>1.8338047446040207</v>
      </c>
      <c r="H46" s="2">
        <f t="shared" si="4"/>
        <v>500</v>
      </c>
      <c r="I46" s="4">
        <f>IF(N$1&lt;&gt;0,0,IF(K$1&gt;26.25,0,IF(K$2&lt;12,0,IF($K$3&lt;12,0,IF($K$3&gt;48.1,0,('Coeff+Calc'!B46*K$4^2+'Coeff+Calc'!C46*K$4+'Coeff+Calc'!D46+K$1*('Coeff+Calc'!E46*K$4^2+'Coeff+Calc'!F46*K$4+'Coeff+Calc'!G46)))))))</f>
        <v>40.735218568421416</v>
      </c>
      <c r="J46" s="10">
        <f t="shared" si="5"/>
        <v>500</v>
      </c>
      <c r="K46" s="4">
        <f t="shared" si="8"/>
        <v>40.735218568421416</v>
      </c>
      <c r="L46" s="4"/>
      <c r="O46" s="4">
        <f t="shared" si="6"/>
        <v>35.658433170001999</v>
      </c>
      <c r="P46" s="23">
        <v>6.2314448980949101E-2</v>
      </c>
      <c r="Q46" s="4">
        <f t="shared" si="7"/>
        <v>45.812003966840834</v>
      </c>
    </row>
    <row r="47" spans="1:24" x14ac:dyDescent="0.3">
      <c r="A47" s="7">
        <v>630</v>
      </c>
      <c r="B47" s="8">
        <v>-339.86806256725708</v>
      </c>
      <c r="C47" s="8">
        <v>152.40205824380254</v>
      </c>
      <c r="D47" s="11">
        <v>-4.0594695470526787</v>
      </c>
      <c r="E47" s="8">
        <v>-54.350286358822288</v>
      </c>
      <c r="F47" s="8">
        <v>34.59459523617258</v>
      </c>
      <c r="G47" s="11">
        <v>-1.1331236970066629</v>
      </c>
      <c r="H47" s="2">
        <f t="shared" si="4"/>
        <v>630</v>
      </c>
      <c r="I47" s="4">
        <f>IF(N$1&lt;&gt;0,0,IF(K$1&gt;26.25,0,IF(K$2&lt;12,0,IF($K$3&lt;12,0,IF($K$3&gt;48.1,0,('Coeff+Calc'!B47*K$4^2+'Coeff+Calc'!C47*K$4+'Coeff+Calc'!D47+K$1*('Coeff+Calc'!E47*K$4^2+'Coeff+Calc'!F47*K$4+'Coeff+Calc'!G47)))))))</f>
        <v>39.274125900661318</v>
      </c>
      <c r="J47" s="10">
        <f t="shared" si="5"/>
        <v>630</v>
      </c>
      <c r="K47" s="4">
        <f t="shared" si="8"/>
        <v>39.274125900661318</v>
      </c>
      <c r="L47" s="4"/>
      <c r="O47" s="4">
        <f t="shared" si="6"/>
        <v>32.177323501333987</v>
      </c>
      <c r="P47" s="23">
        <v>9.034959068570679E-2</v>
      </c>
      <c r="Q47" s="4">
        <f t="shared" si="7"/>
        <v>46.370928299988648</v>
      </c>
    </row>
    <row r="48" spans="1:24" x14ac:dyDescent="0.3">
      <c r="A48" s="7">
        <v>800</v>
      </c>
      <c r="B48" s="8">
        <v>718.19609519714993</v>
      </c>
      <c r="C48" s="8">
        <v>-225.04252376330027</v>
      </c>
      <c r="D48" s="11">
        <v>22.971806586816403</v>
      </c>
      <c r="E48" s="8">
        <v>-261.66393095019856</v>
      </c>
      <c r="F48" s="8">
        <v>115.60039115538957</v>
      </c>
      <c r="G48" s="11">
        <v>-7.635455010528152</v>
      </c>
      <c r="H48" s="2">
        <f t="shared" si="4"/>
        <v>800</v>
      </c>
      <c r="I48" s="4">
        <f>IF(N$1&lt;&gt;0,0,IF(K$1&gt;26.25,0,IF(K$2&lt;12,0,IF($K$3&lt;12,0,IF($K$3&gt;48.1,0,('Coeff+Calc'!B48*K$4^2+'Coeff+Calc'!C48*K$4+'Coeff+Calc'!D48+K$1*('Coeff+Calc'!E48*K$4^2+'Coeff+Calc'!F48*K$4+'Coeff+Calc'!G48)))))))</f>
        <v>36.5129101085492</v>
      </c>
      <c r="J48" s="10">
        <f t="shared" si="5"/>
        <v>800</v>
      </c>
      <c r="K48" s="4">
        <f t="shared" si="8"/>
        <v>36.5129101085492</v>
      </c>
      <c r="L48" s="4"/>
      <c r="O48" s="4">
        <f t="shared" si="6"/>
        <v>27.006158007047418</v>
      </c>
      <c r="P48" s="23">
        <v>0.13018343475279245</v>
      </c>
      <c r="Q48" s="4">
        <f t="shared" si="7"/>
        <v>46.019662210050981</v>
      </c>
    </row>
    <row r="49" spans="1:19" x14ac:dyDescent="0.3">
      <c r="A49" s="7">
        <v>1000</v>
      </c>
      <c r="B49" s="8">
        <v>326.03991266053617</v>
      </c>
      <c r="C49" s="8">
        <v>-69.25918905739033</v>
      </c>
      <c r="D49" s="11">
        <v>10.432693532042951</v>
      </c>
      <c r="E49" s="8">
        <v>-19.67307200666222</v>
      </c>
      <c r="F49" s="8">
        <v>36.345579564301296</v>
      </c>
      <c r="G49" s="11">
        <v>-2.6218122857257162</v>
      </c>
      <c r="H49" s="2">
        <f t="shared" si="4"/>
        <v>1000</v>
      </c>
      <c r="I49" s="4">
        <f>IF(N$1&lt;&gt;0,0,IF(K$1&gt;26.25,0,IF(K$2&lt;12,0,IF($K$3&lt;12,0,IF($K$3&gt;48.1,0,('Coeff+Calc'!B49*K$4^2+'Coeff+Calc'!C49*K$4+'Coeff+Calc'!D49+K$1*('Coeff+Calc'!E49*K$4^2+'Coeff+Calc'!F49*K$4+'Coeff+Calc'!G49)))))))</f>
        <v>24.368032360043188</v>
      </c>
      <c r="J49" s="10">
        <f t="shared" si="5"/>
        <v>1000</v>
      </c>
      <c r="K49" s="4">
        <f t="shared" si="8"/>
        <v>24.368032360043188</v>
      </c>
      <c r="L49" s="4"/>
      <c r="O49" s="4">
        <f t="shared" si="6"/>
        <v>19.02426719339865</v>
      </c>
      <c r="P49" s="23">
        <v>0.10964703853986235</v>
      </c>
      <c r="Q49" s="4">
        <f t="shared" si="7"/>
        <v>29.711797526687725</v>
      </c>
    </row>
    <row r="50" spans="1:19" x14ac:dyDescent="0.3">
      <c r="A50" s="7">
        <v>1250</v>
      </c>
      <c r="B50" s="8">
        <v>-291.78379596183163</v>
      </c>
      <c r="C50" s="8">
        <v>104.05614946171221</v>
      </c>
      <c r="D50" s="11">
        <v>-0.65204490048292207</v>
      </c>
      <c r="E50" s="8">
        <v>159.20280542776686</v>
      </c>
      <c r="F50" s="8">
        <v>-21.787405467121683</v>
      </c>
      <c r="G50" s="11">
        <v>1.0647054054289518</v>
      </c>
      <c r="H50" s="2">
        <f t="shared" si="4"/>
        <v>1250</v>
      </c>
      <c r="I50" s="4">
        <f>IF(N$1&lt;&gt;0,0,IF(K$1&gt;26.25,0,IF(K$2&lt;12,0,IF($K$3&lt;12,0,IF($K$3&gt;48.1,0,('Coeff+Calc'!B50*K$4^2+'Coeff+Calc'!C50*K$4+'Coeff+Calc'!D50+K$1*('Coeff+Calc'!E50*K$4^2+'Coeff+Calc'!F50*K$4+'Coeff+Calc'!G50)))))))</f>
        <v>16.447720039576708</v>
      </c>
      <c r="J50" s="10">
        <f t="shared" si="5"/>
        <v>1250</v>
      </c>
      <c r="K50" s="4">
        <f t="shared" si="8"/>
        <v>16.447720039576708</v>
      </c>
      <c r="L50" s="4"/>
      <c r="O50" s="4">
        <f t="shared" si="6"/>
        <v>13.089721754070801</v>
      </c>
      <c r="P50" s="23">
        <v>0.10208096555102621</v>
      </c>
      <c r="Q50" s="4">
        <f t="shared" si="7"/>
        <v>19.805718325082616</v>
      </c>
    </row>
    <row r="51" spans="1:19" x14ac:dyDescent="0.3">
      <c r="A51" s="7">
        <v>1600</v>
      </c>
      <c r="B51" s="8">
        <v>-104.29188874341155</v>
      </c>
      <c r="C51" s="8">
        <v>52.694778598933013</v>
      </c>
      <c r="D51" s="11">
        <v>0.96325735204423246</v>
      </c>
      <c r="E51" s="8">
        <v>43.750869081580333</v>
      </c>
      <c r="F51" s="8">
        <v>-9.7183386340831707E-2</v>
      </c>
      <c r="G51" s="11">
        <v>4.0641364673619673E-2</v>
      </c>
      <c r="H51" s="2">
        <f t="shared" si="4"/>
        <v>1600</v>
      </c>
      <c r="I51" s="4">
        <f>IF(N$1&lt;&gt;0,0,IF(K$1&gt;26.25,0,IF(K$2&lt;12,0,IF($K$3&lt;12,0,IF($K$3&gt;48.1,0,('Coeff+Calc'!B51*K$4^2+'Coeff+Calc'!C51*K$4+'Coeff+Calc'!D51+K$1*('Coeff+Calc'!E51*K$4^2+'Coeff+Calc'!F51*K$4+'Coeff+Calc'!G51)))))))</f>
        <v>14.080339522329741</v>
      </c>
      <c r="J51" s="10">
        <f t="shared" si="5"/>
        <v>1600</v>
      </c>
      <c r="K51" s="4">
        <f t="shared" si="8"/>
        <v>14.080339522329741</v>
      </c>
      <c r="L51" s="4"/>
      <c r="O51" s="4">
        <f t="shared" si="6"/>
        <v>8.8549966559956523</v>
      </c>
      <c r="P51" s="23">
        <v>0.1855545762247891</v>
      </c>
      <c r="Q51" s="4">
        <f t="shared" si="7"/>
        <v>19.305682388663829</v>
      </c>
    </row>
    <row r="52" spans="1:19" x14ac:dyDescent="0.3">
      <c r="A52" s="7">
        <v>2000</v>
      </c>
      <c r="B52" s="8">
        <v>57.334574088295057</v>
      </c>
      <c r="C52" s="8">
        <v>8.4349136049647964</v>
      </c>
      <c r="D52" s="11">
        <v>2.7360683715751062</v>
      </c>
      <c r="E52" s="8">
        <v>9.0390007340263558</v>
      </c>
      <c r="F52" s="8">
        <v>6.0364602475292513</v>
      </c>
      <c r="G52" s="11">
        <v>-0.30275323595317949</v>
      </c>
      <c r="H52" s="2">
        <f t="shared" si="4"/>
        <v>2000</v>
      </c>
      <c r="I52" s="4">
        <f>IF(N$1&lt;&gt;0,0,IF(K$1&gt;26.25,0,IF(K$2&lt;12,0,IF($K$3&lt;12,0,IF($K$3&gt;48.1,0,('Coeff+Calc'!B52*K$4^2+'Coeff+Calc'!C52*K$4+'Coeff+Calc'!D52+K$1*('Coeff+Calc'!E52*K$4^2+'Coeff+Calc'!F52*K$4+'Coeff+Calc'!G52)))))))</f>
        <v>11.574472807090036</v>
      </c>
      <c r="J52" s="10">
        <f t="shared" si="5"/>
        <v>2000</v>
      </c>
      <c r="K52" s="4">
        <f t="shared" si="8"/>
        <v>11.574472807090036</v>
      </c>
      <c r="L52" s="4"/>
      <c r="O52" s="4">
        <f t="shared" si="6"/>
        <v>7.6544292200473256</v>
      </c>
      <c r="P52" s="23">
        <v>0.16934004910536643</v>
      </c>
      <c r="Q52" s="4">
        <f t="shared" si="7"/>
        <v>15.494516394132745</v>
      </c>
    </row>
    <row r="53" spans="1:19" x14ac:dyDescent="0.3">
      <c r="A53" s="7">
        <v>2500</v>
      </c>
      <c r="B53" s="8">
        <v>16.84456421460472</v>
      </c>
      <c r="C53" s="8">
        <v>9.4896770496200666</v>
      </c>
      <c r="D53" s="11">
        <v>3.0032763524262545</v>
      </c>
      <c r="E53" s="8">
        <v>7.4838393991601082</v>
      </c>
      <c r="F53" s="8">
        <v>5.313474167162755</v>
      </c>
      <c r="G53" s="11">
        <v>-0.29099367471866144</v>
      </c>
      <c r="H53" s="2">
        <f t="shared" si="4"/>
        <v>2500</v>
      </c>
      <c r="I53" s="4">
        <f>IF(N$1&lt;&gt;0,0,IF(K$1&gt;26.25,0,IF(K$2&lt;12,0,IF($K$3&lt;12,0,IF($K$3&gt;48.1,0,('Coeff+Calc'!B53*K$4^2+'Coeff+Calc'!C53*K$4+'Coeff+Calc'!D53+K$1*('Coeff+Calc'!E53*K$4^2+'Coeff+Calc'!F53*K$4+'Coeff+Calc'!G53)))))))</f>
        <v>10.142423839245826</v>
      </c>
      <c r="J53" s="10">
        <f t="shared" si="5"/>
        <v>2500</v>
      </c>
      <c r="K53" s="4">
        <f t="shared" si="8"/>
        <v>10.142423839245826</v>
      </c>
      <c r="L53" s="4"/>
      <c r="O53" s="4">
        <f t="shared" si="6"/>
        <v>6.8244006250134124</v>
      </c>
      <c r="P53" s="23">
        <v>0.16357151243243334</v>
      </c>
      <c r="Q53" s="4">
        <f t="shared" si="7"/>
        <v>13.460447053478239</v>
      </c>
    </row>
    <row r="54" spans="1:19" x14ac:dyDescent="0.3">
      <c r="A54" s="7">
        <v>3150</v>
      </c>
      <c r="B54" s="8">
        <v>88.815420288742388</v>
      </c>
      <c r="C54" s="8">
        <v>0.89292854176351888</v>
      </c>
      <c r="D54" s="11">
        <v>2.6050138548226536</v>
      </c>
      <c r="E54" s="8">
        <v>-10.376494213013711</v>
      </c>
      <c r="F54" s="8">
        <v>8.9300859102827683</v>
      </c>
      <c r="G54" s="11">
        <v>-0.45899808483323501</v>
      </c>
      <c r="H54" s="2">
        <f t="shared" si="4"/>
        <v>3150</v>
      </c>
      <c r="I54" s="4">
        <f>IF(N$1&lt;&gt;0,0,IF(K$1&gt;26.25,0,IF(K$2&lt;12,0,IF($K$3&lt;12,0,IF($K$3&gt;48.1,0,('Coeff+Calc'!B54*K$4^2+'Coeff+Calc'!C54*K$4+'Coeff+Calc'!D54+K$1*('Coeff+Calc'!E54*K$4^2+'Coeff+Calc'!F54*K$4+'Coeff+Calc'!G54)))))))</f>
        <v>9.8776470497016842</v>
      </c>
      <c r="J54" s="10">
        <f t="shared" si="5"/>
        <v>3150</v>
      </c>
      <c r="K54" s="4">
        <f t="shared" si="8"/>
        <v>9.8776470497016842</v>
      </c>
      <c r="L54" s="4"/>
      <c r="O54" s="4">
        <f t="shared" si="6"/>
        <v>5.8647932271220746</v>
      </c>
      <c r="P54" s="23">
        <v>0.20312802241201777</v>
      </c>
      <c r="Q54" s="4">
        <f t="shared" si="7"/>
        <v>13.890500872281294</v>
      </c>
    </row>
    <row r="55" spans="1:19" x14ac:dyDescent="0.3">
      <c r="A55" s="7">
        <v>4000</v>
      </c>
      <c r="B55" s="8">
        <v>243.07971221100246</v>
      </c>
      <c r="C55" s="8">
        <v>-37.050192698120149</v>
      </c>
      <c r="D55" s="11">
        <v>4.0657042330369464</v>
      </c>
      <c r="E55" s="8">
        <v>-30.849219698881559</v>
      </c>
      <c r="F55" s="8">
        <v>13.572079753886063</v>
      </c>
      <c r="G55" s="11">
        <v>-0.67772589479197176</v>
      </c>
      <c r="H55" s="2">
        <f t="shared" si="4"/>
        <v>4000</v>
      </c>
      <c r="I55" s="4">
        <f>IF(N$1&lt;&gt;0,0,IF(K$1&gt;26.25,0,IF(K$2&lt;12,0,IF($K$3&lt;12,0,IF($K$3&gt;48.1,0,('Coeff+Calc'!B55*K$4^2+'Coeff+Calc'!C55*K$4+'Coeff+Calc'!D55+K$1*('Coeff+Calc'!E55*K$4^2+'Coeff+Calc'!F55*K$4+'Coeff+Calc'!G55)))))))</f>
        <v>9.6914262953464618</v>
      </c>
      <c r="J55" s="10">
        <f t="shared" si="5"/>
        <v>4000</v>
      </c>
      <c r="K55" s="4">
        <f t="shared" si="8"/>
        <v>9.6914262953464618</v>
      </c>
      <c r="L55" s="4"/>
      <c r="O55" s="4">
        <f t="shared" si="6"/>
        <v>5.4559671716377878</v>
      </c>
      <c r="P55" s="23">
        <v>0.21851577851561524</v>
      </c>
      <c r="Q55" s="4">
        <f t="shared" si="7"/>
        <v>13.926885419055136</v>
      </c>
    </row>
    <row r="56" spans="1:19" x14ac:dyDescent="0.3">
      <c r="A56" s="7">
        <v>5000</v>
      </c>
      <c r="B56" s="8">
        <v>162.5796972991289</v>
      </c>
      <c r="C56" s="8">
        <v>-25.101920481526477</v>
      </c>
      <c r="D56" s="11">
        <v>4.0127707166069753</v>
      </c>
      <c r="E56" s="8">
        <v>-16.787497383948445</v>
      </c>
      <c r="F56" s="8">
        <v>10.399666104083238</v>
      </c>
      <c r="G56" s="11">
        <v>-0.54887182028303017</v>
      </c>
      <c r="H56" s="2">
        <f t="shared" si="4"/>
        <v>5000</v>
      </c>
      <c r="I56" s="4">
        <f>IF(N$1&lt;&gt;0,0,IF(K$1&gt;26.25,0,IF(K$2&lt;12,0,IF($K$3&lt;12,0,IF($K$3&gt;48.1,0,('Coeff+Calc'!B56*K$4^2+'Coeff+Calc'!C56*K$4+'Coeff+Calc'!D56+K$1*('Coeff+Calc'!E56*K$4^2+'Coeff+Calc'!F56*K$4+'Coeff+Calc'!G56)))))))</f>
        <v>9.2217289217121525</v>
      </c>
      <c r="J56" s="10">
        <f t="shared" si="5"/>
        <v>5000</v>
      </c>
      <c r="K56" s="4">
        <f t="shared" si="8"/>
        <v>9.2217289217121525</v>
      </c>
      <c r="L56" s="4"/>
      <c r="O56" s="4">
        <f t="shared" si="6"/>
        <v>4.4354151879936277</v>
      </c>
      <c r="P56" s="23">
        <v>0.25951281881911326</v>
      </c>
      <c r="Q56" s="4">
        <f t="shared" si="7"/>
        <v>14.008042655430678</v>
      </c>
    </row>
    <row r="57" spans="1:19" x14ac:dyDescent="0.3">
      <c r="A57" s="7">
        <v>6300</v>
      </c>
      <c r="B57" s="8">
        <v>318.29247449325089</v>
      </c>
      <c r="C57" s="8">
        <v>-79.592192179533683</v>
      </c>
      <c r="D57" s="11">
        <v>6.5724675521314335</v>
      </c>
      <c r="E57" s="8">
        <v>-41.505304923170314</v>
      </c>
      <c r="F57" s="8">
        <v>18.603762622168134</v>
      </c>
      <c r="G57" s="11">
        <v>-1.0078474267801729</v>
      </c>
      <c r="H57" s="2">
        <f t="shared" si="4"/>
        <v>6300</v>
      </c>
      <c r="I57" s="4">
        <f>IF(N$1&lt;&gt;0,0,IF(K$1&gt;26.25,0,IF(K$2&lt;12,0,IF($K$3&lt;12,0,IF($K$3&gt;48.1,0,('Coeff+Calc'!B57*K$4^2+'Coeff+Calc'!C57*K$4+'Coeff+Calc'!D57+K$1*('Coeff+Calc'!E57*K$4^2+'Coeff+Calc'!F57*K$4+'Coeff+Calc'!G57)))))))</f>
        <v>9.8608194223126802</v>
      </c>
      <c r="J57" s="10">
        <f t="shared" si="5"/>
        <v>6300</v>
      </c>
      <c r="K57" s="4">
        <f t="shared" si="8"/>
        <v>9.8608194223126802</v>
      </c>
      <c r="L57" s="4"/>
      <c r="O57" s="4">
        <f t="shared" si="6"/>
        <v>1.5172910820307894</v>
      </c>
      <c r="P57" s="23">
        <v>0.42306465532684223</v>
      </c>
      <c r="Q57" s="4">
        <f t="shared" si="7"/>
        <v>18.204347762594573</v>
      </c>
    </row>
    <row r="58" spans="1:19" x14ac:dyDescent="0.3">
      <c r="A58" s="7">
        <v>8000</v>
      </c>
      <c r="B58" s="8">
        <v>151.85823675086007</v>
      </c>
      <c r="C58" s="8">
        <v>-18.693293396827986</v>
      </c>
      <c r="D58" s="11">
        <v>2.7973653306741761</v>
      </c>
      <c r="E58" s="8">
        <v>-30.458746863273969</v>
      </c>
      <c r="F58" s="8">
        <v>13.952346280036215</v>
      </c>
      <c r="G58" s="11">
        <v>-0.75318720181410515</v>
      </c>
      <c r="H58" s="2">
        <f t="shared" si="4"/>
        <v>8000</v>
      </c>
      <c r="I58" s="4">
        <f>IF(N$1&lt;&gt;0,0,IF(K$1&gt;26.25,0,IF(K$2&lt;12,0,IF($K$3&lt;12,0,IF($K$3&gt;48.1,0,('Coeff+Calc'!B58*K$4^2+'Coeff+Calc'!C58*K$4+'Coeff+Calc'!D58+K$1*('Coeff+Calc'!E58*K$4^2+'Coeff+Calc'!F58*K$4+'Coeff+Calc'!G58)))))))</f>
        <v>8.9107195384649138</v>
      </c>
      <c r="J58" s="10">
        <f t="shared" si="5"/>
        <v>8000</v>
      </c>
      <c r="K58" s="4">
        <f t="shared" si="8"/>
        <v>8.9107195384649138</v>
      </c>
      <c r="L58" s="4"/>
      <c r="O58" s="4">
        <f t="shared" si="6"/>
        <v>2.7805303521136997</v>
      </c>
      <c r="P58" s="23">
        <v>0.34397834876796529</v>
      </c>
      <c r="Q58" s="4">
        <f t="shared" si="7"/>
        <v>15.040908724816127</v>
      </c>
    </row>
    <row r="59" spans="1:19" x14ac:dyDescent="0.3">
      <c r="A59" s="12">
        <v>10000</v>
      </c>
      <c r="B59" s="13">
        <v>101.21753196733037</v>
      </c>
      <c r="C59" s="13">
        <v>4.2711833911624444</v>
      </c>
      <c r="D59" s="14">
        <v>0.45629708794146184</v>
      </c>
      <c r="E59" s="13">
        <v>-28.235969528361657</v>
      </c>
      <c r="F59" s="13">
        <v>12.341087548951602</v>
      </c>
      <c r="G59" s="14">
        <v>-0.59368525898246549</v>
      </c>
      <c r="H59" s="2">
        <f t="shared" si="4"/>
        <v>10000</v>
      </c>
      <c r="I59" s="4">
        <f>IF(N$1&lt;&gt;0,0,IF(K$1&gt;26.25,0,IF(K$2&lt;12,0,IF($K$3&lt;12,0,IF($K$3&gt;48.1,0,('Coeff+Calc'!B59*K$4^2+'Coeff+Calc'!C59*K$4+'Coeff+Calc'!D59+K$1*('Coeff+Calc'!E59*K$4^2+'Coeff+Calc'!F59*K$4+'Coeff+Calc'!G59)))))))</f>
        <v>8.6147892979061318</v>
      </c>
      <c r="J59" s="10">
        <f t="shared" si="5"/>
        <v>10000</v>
      </c>
      <c r="K59" s="4">
        <f t="shared" si="8"/>
        <v>8.6147892979061318</v>
      </c>
      <c r="L59" s="4"/>
      <c r="O59" s="4">
        <f t="shared" si="6"/>
        <v>2.60347438575588</v>
      </c>
      <c r="P59" s="23">
        <v>0.3488950631451504</v>
      </c>
      <c r="Q59" s="4">
        <f t="shared" si="7"/>
        <v>14.626104210056383</v>
      </c>
    </row>
    <row r="61" spans="1:19" x14ac:dyDescent="0.3">
      <c r="K61" s="107"/>
      <c r="M61" s="2"/>
      <c r="P61" s="2"/>
      <c r="Q61" s="4"/>
    </row>
    <row r="62" spans="1:19" x14ac:dyDescent="0.3">
      <c r="H62" t="s">
        <v>22</v>
      </c>
      <c r="K62" s="107"/>
      <c r="L62" s="2"/>
      <c r="M62" s="2"/>
      <c r="O62" s="2"/>
      <c r="P62" s="3"/>
      <c r="Q62" s="2"/>
      <c r="R62" s="2"/>
      <c r="S62" s="2"/>
    </row>
    <row r="63" spans="1:19" x14ac:dyDescent="0.3">
      <c r="K63" s="107"/>
      <c r="L63" s="2"/>
      <c r="M63" s="2"/>
      <c r="O63" s="2"/>
      <c r="P63" s="3"/>
      <c r="Q63" s="2"/>
      <c r="R63" s="2"/>
      <c r="S63" s="2"/>
    </row>
    <row r="64" spans="1:19" x14ac:dyDescent="0.3">
      <c r="K64" s="107"/>
      <c r="L64" s="2"/>
      <c r="M64" s="2"/>
      <c r="N64" s="3"/>
      <c r="O64" s="2"/>
      <c r="P64" s="3"/>
      <c r="Q64" s="25"/>
      <c r="R64" s="24"/>
      <c r="S64" s="25"/>
    </row>
    <row r="65" spans="1:21" x14ac:dyDescent="0.3">
      <c r="A65" s="6" t="s">
        <v>12</v>
      </c>
      <c r="B65" s="6" t="s">
        <v>6</v>
      </c>
      <c r="C65" s="6" t="s">
        <v>7</v>
      </c>
      <c r="D65" s="6" t="s">
        <v>8</v>
      </c>
      <c r="E65" s="6" t="s">
        <v>13</v>
      </c>
      <c r="F65" s="6" t="s">
        <v>9</v>
      </c>
      <c r="G65" s="6" t="s">
        <v>10</v>
      </c>
      <c r="H65" s="6" t="s">
        <v>11</v>
      </c>
      <c r="I65" s="6" t="s">
        <v>14</v>
      </c>
      <c r="J65" s="6"/>
      <c r="K65" s="2"/>
      <c r="Q65" s="2"/>
      <c r="S65" s="25" t="s">
        <v>18</v>
      </c>
      <c r="T65" s="24" t="s">
        <v>16</v>
      </c>
      <c r="U65" s="25" t="s">
        <v>17</v>
      </c>
    </row>
    <row r="66" spans="1:21" x14ac:dyDescent="0.3">
      <c r="A66" s="7">
        <v>50</v>
      </c>
      <c r="B66" s="17">
        <v>3.7657173003622898E-4</v>
      </c>
      <c r="C66" s="17">
        <v>-2.9578300930619895E-2</v>
      </c>
      <c r="D66" s="18">
        <v>0.65788351192111061</v>
      </c>
      <c r="E66" s="17">
        <v>-3.1989146336563046</v>
      </c>
      <c r="F66" s="17">
        <v>-3.0679148828555646E-6</v>
      </c>
      <c r="G66" s="18">
        <v>4.9288655288520311E-4</v>
      </c>
      <c r="H66" s="17">
        <v>-2.2756156893813679E-2</v>
      </c>
      <c r="I66" s="17">
        <v>0.31897580672491876</v>
      </c>
      <c r="J66" s="2">
        <f t="shared" ref="J66:J89" si="9">A66</f>
        <v>50</v>
      </c>
      <c r="K66" s="4">
        <f t="shared" ref="K66:K75" si="10">IF(N$1&lt;&gt;0,0,IF(K$1&gt;26.25,0,IF(K$2&lt;12,0,IF(K$2&gt;48.1,0,B66*K$2^3+C66*K$2^2+D66*K$2+E66+K$1*(F66*K$2^3+G66*K$2^2+H66*K$2+I66)))))</f>
        <v>-0.34827815932429934</v>
      </c>
      <c r="L66" s="10">
        <f t="shared" ref="L66:L89" si="11">J66</f>
        <v>50</v>
      </c>
      <c r="M66" s="4">
        <f>IF(M67=0,0,IF(K66&lt;0,0,IF(K66&gt;50,50,K66)))</f>
        <v>0</v>
      </c>
      <c r="O66" s="2">
        <v>63</v>
      </c>
      <c r="P66" s="4">
        <f>-10*LOG((10^(-M66/10)+10^(-M67/10)+10^(-M68/10))/3)</f>
        <v>0.44464521923239653</v>
      </c>
      <c r="S66" s="4">
        <f t="shared" ref="S66:S89" si="12">$M66-2*$T66*$M66</f>
        <v>0</v>
      </c>
      <c r="T66" s="23">
        <v>0.66134520979421052</v>
      </c>
      <c r="U66" s="4">
        <f t="shared" ref="U66:U89" si="13">$M66+2*$T66*$M66</f>
        <v>0</v>
      </c>
    </row>
    <row r="67" spans="1:21" x14ac:dyDescent="0.3">
      <c r="A67" s="7">
        <v>63</v>
      </c>
      <c r="B67" s="17">
        <v>2.4701577258841068E-4</v>
      </c>
      <c r="C67" s="17">
        <v>-2.8725447714652127E-2</v>
      </c>
      <c r="D67" s="19">
        <v>1.023699273443931</v>
      </c>
      <c r="E67" s="17">
        <v>-9.981931813526252</v>
      </c>
      <c r="F67" s="17">
        <v>5.3097365295501191E-6</v>
      </c>
      <c r="G67" s="19">
        <v>-2.800429567186798E-4</v>
      </c>
      <c r="H67" s="17">
        <v>3.6238410267545981E-4</v>
      </c>
      <c r="I67" s="17">
        <v>7.2234471452211568E-2</v>
      </c>
      <c r="J67" s="2">
        <f t="shared" si="9"/>
        <v>63</v>
      </c>
      <c r="K67" s="4">
        <f t="shared" si="10"/>
        <v>0.71896509960814015</v>
      </c>
      <c r="L67" s="10">
        <f t="shared" si="11"/>
        <v>63</v>
      </c>
      <c r="M67" s="4">
        <f>IF(M68=0,0,IF(K67&lt;0,0,IF(K67&gt;50,50,K67)))</f>
        <v>0.71896509960814015</v>
      </c>
      <c r="O67" s="2">
        <v>125</v>
      </c>
      <c r="P67" s="4">
        <f>-10*LOG((10^(-M69/10)+10^(-M70/10)+10^(-M71/10))/3)</f>
        <v>1.1306119022435472</v>
      </c>
      <c r="S67" s="4">
        <f t="shared" si="12"/>
        <v>-1.9335307535055146</v>
      </c>
      <c r="T67" s="23">
        <v>1.8446624561883138</v>
      </c>
      <c r="U67" s="4">
        <f t="shared" si="13"/>
        <v>3.3714609527217951</v>
      </c>
    </row>
    <row r="68" spans="1:21" x14ac:dyDescent="0.3">
      <c r="A68" s="7">
        <v>80</v>
      </c>
      <c r="B68" s="17">
        <v>3.8720754062827989E-5</v>
      </c>
      <c r="C68" s="17">
        <v>-3.9743712185678556E-3</v>
      </c>
      <c r="D68" s="19">
        <v>0.11079258380294423</v>
      </c>
      <c r="E68" s="17">
        <v>-0.3565988619303464</v>
      </c>
      <c r="F68" s="17">
        <v>1.1904098109496435E-5</v>
      </c>
      <c r="G68" s="19">
        <v>-1.1156188252596981E-3</v>
      </c>
      <c r="H68" s="17">
        <v>3.1944125944287208E-2</v>
      </c>
      <c r="I68" s="17">
        <v>-0.23526573761815373</v>
      </c>
      <c r="J68" s="2">
        <f t="shared" si="9"/>
        <v>80</v>
      </c>
      <c r="K68" s="4">
        <f t="shared" si="10"/>
        <v>0.6518805608112459</v>
      </c>
      <c r="L68" s="10">
        <f t="shared" si="11"/>
        <v>80</v>
      </c>
      <c r="M68" s="4">
        <f>IF(M69=0,0,IF(K68&lt;0,0,IF(K68&gt;50,50,K68)))</f>
        <v>0.6518805608112459</v>
      </c>
      <c r="O68" s="2">
        <v>250</v>
      </c>
      <c r="P68" s="4">
        <f>-10*LOG((10^(-M72/10)+10^(-M73/10)+10^(-M74/10))/3)</f>
        <v>3.8111742866557319</v>
      </c>
      <c r="S68" s="4">
        <f t="shared" si="12"/>
        <v>-0.30602038784072949</v>
      </c>
      <c r="T68" s="23">
        <v>0.73472120986388689</v>
      </c>
      <c r="U68" s="4">
        <f t="shared" si="13"/>
        <v>1.6097815094632213</v>
      </c>
    </row>
    <row r="69" spans="1:21" x14ac:dyDescent="0.3">
      <c r="A69" s="7">
        <v>100</v>
      </c>
      <c r="B69" s="17">
        <v>1.1389209097658369E-4</v>
      </c>
      <c r="C69" s="17">
        <v>-1.1479965693063579E-2</v>
      </c>
      <c r="D69" s="19">
        <v>0.34161770812295422</v>
      </c>
      <c r="E69" s="17">
        <v>-2.5950760981727994</v>
      </c>
      <c r="F69" s="17">
        <v>-3.5544349063746473E-6</v>
      </c>
      <c r="G69" s="19">
        <v>4.8511876615812884E-4</v>
      </c>
      <c r="H69" s="17">
        <v>-2.1443069791118655E-2</v>
      </c>
      <c r="I69" s="17">
        <v>0.34648225471931471</v>
      </c>
      <c r="J69" s="2">
        <f t="shared" si="9"/>
        <v>100</v>
      </c>
      <c r="K69" s="4">
        <f t="shared" si="10"/>
        <v>0.70002447546908209</v>
      </c>
      <c r="L69" s="10">
        <f t="shared" si="11"/>
        <v>100</v>
      </c>
      <c r="M69" s="4">
        <f>IF(M70=0,0,IF(K69&lt;0,0,IF(K69&gt;50,50,K69)))</f>
        <v>0.70002447546908209</v>
      </c>
      <c r="O69" s="2">
        <v>500</v>
      </c>
      <c r="P69" s="4">
        <f>-10*LOG((10^(-M75/10)+10^(-M76/10)+10^(-M77/10))/3)</f>
        <v>14.030301411523487</v>
      </c>
      <c r="S69" s="4">
        <f t="shared" si="12"/>
        <v>0.21658230863394917</v>
      </c>
      <c r="T69" s="23">
        <v>0.3453037599229522</v>
      </c>
      <c r="U69" s="4">
        <f t="shared" si="13"/>
        <v>1.1834666423042151</v>
      </c>
    </row>
    <row r="70" spans="1:21" x14ac:dyDescent="0.3">
      <c r="A70" s="7">
        <v>125</v>
      </c>
      <c r="B70" s="17">
        <v>-6.6156043493148644E-6</v>
      </c>
      <c r="C70" s="17">
        <v>7.888319007061757E-4</v>
      </c>
      <c r="D70" s="19">
        <v>-4.7109345085960784E-2</v>
      </c>
      <c r="E70" s="17">
        <v>0.98185894324998224</v>
      </c>
      <c r="F70" s="17">
        <v>-3.633701207158949E-6</v>
      </c>
      <c r="G70" s="19">
        <v>5.4405945147509576E-4</v>
      </c>
      <c r="H70" s="17">
        <v>-2.5938370724101711E-2</v>
      </c>
      <c r="I70" s="17">
        <v>0.46589953535521372</v>
      </c>
      <c r="J70" s="2">
        <f t="shared" si="9"/>
        <v>125</v>
      </c>
      <c r="K70" s="4">
        <f t="shared" si="10"/>
        <v>1.0148701501199873</v>
      </c>
      <c r="L70" s="10">
        <f t="shared" si="11"/>
        <v>125</v>
      </c>
      <c r="M70" s="4">
        <f>IF(M71=0,0,IF(K70&lt;0,0,IF(K70&gt;50,50,K70)))</f>
        <v>1.0148701501199873</v>
      </c>
      <c r="O70" s="2">
        <v>1000</v>
      </c>
      <c r="P70" s="4">
        <f>-10*LOG((10^(-M78/10)+10^(-M79/10)+10^(-M80/10))/3)</f>
        <v>21.196492028862064</v>
      </c>
      <c r="S70" s="4">
        <f t="shared" si="12"/>
        <v>0.65824516378645503</v>
      </c>
      <c r="T70" s="23">
        <v>0.17569981060698686</v>
      </c>
      <c r="U70" s="4">
        <f t="shared" si="13"/>
        <v>1.3714951364535195</v>
      </c>
    </row>
    <row r="71" spans="1:21" x14ac:dyDescent="0.3">
      <c r="A71" s="7">
        <v>160</v>
      </c>
      <c r="B71" s="17">
        <v>7.3949437500575135E-5</v>
      </c>
      <c r="C71" s="17">
        <v>-8.334791223711795E-3</v>
      </c>
      <c r="D71" s="19">
        <v>0.2847571684179992</v>
      </c>
      <c r="E71" s="17">
        <v>-2.5359273866851559</v>
      </c>
      <c r="F71" s="17">
        <v>-1.2797674810869062E-5</v>
      </c>
      <c r="G71" s="19">
        <v>1.5150058361508396E-3</v>
      </c>
      <c r="H71" s="17">
        <v>-5.9222853716303515E-2</v>
      </c>
      <c r="I71" s="17">
        <v>0.85752825230911123</v>
      </c>
      <c r="J71" s="2">
        <f t="shared" si="9"/>
        <v>160</v>
      </c>
      <c r="K71" s="4">
        <f t="shared" si="10"/>
        <v>1.7415976994256486</v>
      </c>
      <c r="L71" s="10">
        <f t="shared" si="11"/>
        <v>160</v>
      </c>
      <c r="M71" s="4">
        <f t="shared" ref="M71:M89" si="14">IF(K71&lt;0,0,IF(K71&gt;50,50,K71))</f>
        <v>1.7415976994256486</v>
      </c>
      <c r="O71" s="2">
        <v>2000</v>
      </c>
      <c r="P71" s="4">
        <f>-10*LOG((10^(-M81/10)+10^(-M82/10)+10^(-M83/10))/3)</f>
        <v>10.494449129262076</v>
      </c>
      <c r="S71" s="4">
        <f t="shared" si="12"/>
        <v>1.4275338363582151</v>
      </c>
      <c r="T71" s="23">
        <v>9.0165444973602904E-2</v>
      </c>
      <c r="U71" s="4">
        <f t="shared" si="13"/>
        <v>2.0556615624930821</v>
      </c>
    </row>
    <row r="72" spans="1:21" x14ac:dyDescent="0.3">
      <c r="A72" s="7">
        <v>200</v>
      </c>
      <c r="B72" s="17">
        <v>-1.1307928212786828E-5</v>
      </c>
      <c r="C72" s="17">
        <v>6.083388034763532E-4</v>
      </c>
      <c r="D72" s="19">
        <v>-3.0780729291145911E-3</v>
      </c>
      <c r="E72" s="17">
        <v>0.24738327603176952</v>
      </c>
      <c r="F72" s="17">
        <v>-8.349456094110368E-6</v>
      </c>
      <c r="G72" s="19">
        <v>1.1580221421850006E-3</v>
      </c>
      <c r="H72" s="17">
        <v>-5.4395725345386163E-2</v>
      </c>
      <c r="I72" s="17">
        <v>0.99443876907987461</v>
      </c>
      <c r="J72" s="2">
        <f t="shared" si="9"/>
        <v>200</v>
      </c>
      <c r="K72" s="4">
        <f t="shared" si="10"/>
        <v>2.6089539820570158</v>
      </c>
      <c r="L72" s="10">
        <f t="shared" si="11"/>
        <v>200</v>
      </c>
      <c r="M72" s="4">
        <f t="shared" si="14"/>
        <v>2.6089539820570158</v>
      </c>
      <c r="O72" s="2">
        <v>4000</v>
      </c>
      <c r="P72" s="4">
        <f>-10*LOG((10^(-M84/10)+10^(-M85/10)+10^(-M86/10))/3)</f>
        <v>9.5600442366241865</v>
      </c>
      <c r="S72" s="4">
        <f t="shared" si="12"/>
        <v>2.335836988820791</v>
      </c>
      <c r="T72" s="23">
        <v>5.2342240437082632E-2</v>
      </c>
      <c r="U72" s="4">
        <f t="shared" si="13"/>
        <v>2.8820709752932405</v>
      </c>
    </row>
    <row r="73" spans="1:21" x14ac:dyDescent="0.3">
      <c r="A73" s="7">
        <v>250</v>
      </c>
      <c r="B73" s="17">
        <v>8.0833828851622878E-5</v>
      </c>
      <c r="C73" s="17">
        <v>-8.0682088375093365E-3</v>
      </c>
      <c r="D73" s="19">
        <v>0.22700373601487159</v>
      </c>
      <c r="E73" s="17">
        <v>-1.5658423957877243</v>
      </c>
      <c r="F73" s="17">
        <v>-1.8179761801314095E-5</v>
      </c>
      <c r="G73" s="19">
        <v>2.2369037513555899E-3</v>
      </c>
      <c r="H73" s="17">
        <v>-9.2446125415448208E-2</v>
      </c>
      <c r="I73" s="17">
        <v>1.5173568929138481</v>
      </c>
      <c r="J73" s="2">
        <f t="shared" si="9"/>
        <v>250</v>
      </c>
      <c r="K73" s="4">
        <f t="shared" si="10"/>
        <v>3.5232066629235765</v>
      </c>
      <c r="L73" s="10">
        <f t="shared" si="11"/>
        <v>250</v>
      </c>
      <c r="M73" s="4">
        <f t="shared" si="14"/>
        <v>3.5232066629235765</v>
      </c>
      <c r="O73" s="2">
        <v>8000</v>
      </c>
      <c r="P73" s="4">
        <f>-10*LOG((10^(-M87/10)+10^(-M88/10)+10^(-M89/10))/3)</f>
        <v>10.129249583229726</v>
      </c>
      <c r="S73" s="4">
        <f t="shared" si="12"/>
        <v>3.2588319478559606</v>
      </c>
      <c r="T73" s="23">
        <v>3.7519047328355738E-2</v>
      </c>
      <c r="U73" s="4">
        <f t="shared" si="13"/>
        <v>3.7875813779911924</v>
      </c>
    </row>
    <row r="74" spans="1:21" x14ac:dyDescent="0.3">
      <c r="A74" s="7">
        <v>315</v>
      </c>
      <c r="B74" s="17">
        <v>1.0010631706508587E-5</v>
      </c>
      <c r="C74" s="17">
        <v>-1.9809983548939539E-3</v>
      </c>
      <c r="D74" s="19">
        <v>8.7025019490593714E-2</v>
      </c>
      <c r="E74" s="17">
        <v>-0.84136851550118785</v>
      </c>
      <c r="F74" s="17">
        <v>-2.2566673679091682E-5</v>
      </c>
      <c r="G74" s="19">
        <v>2.8729285936404513E-3</v>
      </c>
      <c r="H74" s="17">
        <v>-0.12458562252754271</v>
      </c>
      <c r="I74" s="17">
        <v>2.1978907936403331</v>
      </c>
      <c r="J74" s="2">
        <f t="shared" si="9"/>
        <v>315</v>
      </c>
      <c r="K74" s="4">
        <f t="shared" si="10"/>
        <v>5.9400110436432625</v>
      </c>
      <c r="L74" s="10">
        <f t="shared" si="11"/>
        <v>315</v>
      </c>
      <c r="M74" s="4">
        <f t="shared" si="14"/>
        <v>5.9400110436432625</v>
      </c>
      <c r="S74" s="4">
        <f t="shared" si="12"/>
        <v>5.6063535862965006</v>
      </c>
      <c r="T74" s="23">
        <v>2.8085592341097365E-2</v>
      </c>
      <c r="U74" s="4">
        <f t="shared" si="13"/>
        <v>6.2736685009900244</v>
      </c>
    </row>
    <row r="75" spans="1:21" x14ac:dyDescent="0.3">
      <c r="A75" s="7">
        <v>400</v>
      </c>
      <c r="B75" s="17">
        <v>-1.7173583963144435E-4</v>
      </c>
      <c r="C75" s="17">
        <v>1.6345278198552787E-2</v>
      </c>
      <c r="D75" s="19">
        <v>-0.49322524426916331</v>
      </c>
      <c r="E75" s="17">
        <v>6.8307160499588857</v>
      </c>
      <c r="F75" s="17">
        <v>3.0255456251594178E-6</v>
      </c>
      <c r="G75" s="19">
        <v>6.1081664530432509E-4</v>
      </c>
      <c r="H75" s="17">
        <v>-6.6643492215189018E-2</v>
      </c>
      <c r="I75" s="17">
        <v>2.0081695092486274</v>
      </c>
      <c r="J75" s="2">
        <f t="shared" si="9"/>
        <v>400</v>
      </c>
      <c r="K75" s="4">
        <f t="shared" si="10"/>
        <v>10.372310745303736</v>
      </c>
      <c r="L75" s="10">
        <f t="shared" si="11"/>
        <v>400</v>
      </c>
      <c r="M75" s="4">
        <f t="shared" si="14"/>
        <v>10.372310745303736</v>
      </c>
      <c r="S75" s="4">
        <f t="shared" si="12"/>
        <v>9.0965029657252714</v>
      </c>
      <c r="T75" s="23">
        <v>6.150065356247212E-2</v>
      </c>
      <c r="U75" s="4">
        <f t="shared" si="13"/>
        <v>11.6481185248822</v>
      </c>
    </row>
    <row r="76" spans="1:21" x14ac:dyDescent="0.3">
      <c r="A76" s="7">
        <v>500</v>
      </c>
      <c r="B76" s="17">
        <v>1.059241711303552E-4</v>
      </c>
      <c r="C76" s="17">
        <v>-1.2394239861188041E-2</v>
      </c>
      <c r="D76" s="19">
        <v>0.39973783825197412</v>
      </c>
      <c r="E76" s="17">
        <v>-1.0806167882651536</v>
      </c>
      <c r="F76" s="17">
        <v>-2.3585605013801847E-6</v>
      </c>
      <c r="G76" s="19">
        <v>1.4155940701215137E-3</v>
      </c>
      <c r="H76" s="17">
        <v>-0.10220244741836841</v>
      </c>
      <c r="I76" s="17">
        <v>2.8732136205732366</v>
      </c>
      <c r="J76" s="2">
        <f t="shared" si="9"/>
        <v>500</v>
      </c>
      <c r="K76" s="4">
        <f t="shared" ref="K76:K89" si="15">IF(N$1&lt;&gt;0,0,IF(K$1&gt;26.25,0,IF(K$2&lt;12,0,IF(K$2&gt;48.1,0,B76*K$2^3+C76*K$2^2+D76*K$2+E76+K$1*(F76*K$2^3+G76*K$2^2+H76*K$2+I76)))))</f>
        <v>15.966425101519993</v>
      </c>
      <c r="L76" s="10">
        <f t="shared" si="11"/>
        <v>500</v>
      </c>
      <c r="M76" s="4">
        <f t="shared" si="14"/>
        <v>15.966425101519993</v>
      </c>
      <c r="S76" s="4">
        <f t="shared" si="12"/>
        <v>13.784203385189485</v>
      </c>
      <c r="T76" s="23">
        <v>6.8337830868688401E-2</v>
      </c>
      <c r="U76" s="4">
        <f t="shared" si="13"/>
        <v>18.148646817850501</v>
      </c>
    </row>
    <row r="77" spans="1:21" x14ac:dyDescent="0.3">
      <c r="A77" s="7">
        <v>630</v>
      </c>
      <c r="B77" s="17">
        <v>4.5342068467681449E-4</v>
      </c>
      <c r="C77" s="17">
        <v>-3.9280154759656988E-2</v>
      </c>
      <c r="D77" s="19">
        <v>0.93400923328576391</v>
      </c>
      <c r="E77" s="17">
        <v>0.30073945054773432</v>
      </c>
      <c r="F77" s="17">
        <v>-3.7758700449439437E-5</v>
      </c>
      <c r="G77" s="19">
        <v>3.8902661180466752E-3</v>
      </c>
      <c r="H77" s="17">
        <v>-0.1416442805578689</v>
      </c>
      <c r="I77" s="17">
        <v>3.4228176690327343</v>
      </c>
      <c r="J77" s="2">
        <f t="shared" si="9"/>
        <v>630</v>
      </c>
      <c r="K77" s="4">
        <f t="shared" si="15"/>
        <v>28.228864691134714</v>
      </c>
      <c r="L77" s="10">
        <f t="shared" si="11"/>
        <v>630</v>
      </c>
      <c r="M77" s="4">
        <f t="shared" si="14"/>
        <v>28.228864691134714</v>
      </c>
      <c r="S77" s="4">
        <f t="shared" si="12"/>
        <v>23.367979946759878</v>
      </c>
      <c r="T77" s="23">
        <v>8.6097772573570736E-2</v>
      </c>
      <c r="U77" s="4">
        <f t="shared" si="13"/>
        <v>33.089749435509546</v>
      </c>
    </row>
    <row r="78" spans="1:21" x14ac:dyDescent="0.3">
      <c r="A78" s="7">
        <v>800</v>
      </c>
      <c r="B78" s="17">
        <v>-5.0209136162911964E-4</v>
      </c>
      <c r="C78" s="17">
        <v>5.106086022954047E-2</v>
      </c>
      <c r="D78" s="19">
        <v>-1.4786876101447399</v>
      </c>
      <c r="E78" s="17">
        <v>19.878435916762985</v>
      </c>
      <c r="F78" s="17">
        <v>1.1731407696224412E-4</v>
      </c>
      <c r="G78" s="19">
        <v>-1.0595564378129666E-2</v>
      </c>
      <c r="H78" s="17">
        <v>0.2179604415348981</v>
      </c>
      <c r="I78" s="17">
        <v>1.7199512006044184</v>
      </c>
      <c r="J78" s="2">
        <f t="shared" si="9"/>
        <v>800</v>
      </c>
      <c r="K78" s="4">
        <f t="shared" si="15"/>
        <v>29.016200789196084</v>
      </c>
      <c r="L78" s="10">
        <f t="shared" si="11"/>
        <v>800</v>
      </c>
      <c r="M78" s="4">
        <f t="shared" si="14"/>
        <v>29.016200789196084</v>
      </c>
      <c r="S78" s="4">
        <f t="shared" si="12"/>
        <v>24.377091599910784</v>
      </c>
      <c r="T78" s="23">
        <v>7.9939982890741335E-2</v>
      </c>
      <c r="U78" s="4">
        <f t="shared" si="13"/>
        <v>33.655309978481384</v>
      </c>
    </row>
    <row r="79" spans="1:21" x14ac:dyDescent="0.3">
      <c r="A79" s="7">
        <v>1000</v>
      </c>
      <c r="B79" s="17">
        <v>3.7477921807493614E-4</v>
      </c>
      <c r="C79" s="17">
        <v>-1.0933900095975205E-2</v>
      </c>
      <c r="D79" s="19">
        <v>-0.77053413818692174</v>
      </c>
      <c r="E79" s="17">
        <v>32.990627855608437</v>
      </c>
      <c r="F79" s="17">
        <v>9.6929857198377648E-5</v>
      </c>
      <c r="G79" s="19">
        <v>-9.8082387246743209E-3</v>
      </c>
      <c r="H79" s="17">
        <v>0.24616990820975312</v>
      </c>
      <c r="I79" s="17">
        <v>0.27107411708383999</v>
      </c>
      <c r="J79" s="2">
        <f t="shared" si="9"/>
        <v>1000</v>
      </c>
      <c r="K79" s="4">
        <f t="shared" si="15"/>
        <v>22.7278561985677</v>
      </c>
      <c r="L79" s="10">
        <f t="shared" si="11"/>
        <v>1000</v>
      </c>
      <c r="M79" s="4">
        <f t="shared" si="14"/>
        <v>22.7278561985677</v>
      </c>
      <c r="S79" s="4">
        <f t="shared" si="12"/>
        <v>19.21429779952031</v>
      </c>
      <c r="T79" s="23">
        <v>7.7296300371453713E-2</v>
      </c>
      <c r="U79" s="4">
        <f t="shared" si="13"/>
        <v>26.241414597615091</v>
      </c>
    </row>
    <row r="80" spans="1:21" x14ac:dyDescent="0.3">
      <c r="A80" s="7">
        <v>1250</v>
      </c>
      <c r="B80" s="17">
        <v>-1.1513418863903137E-3</v>
      </c>
      <c r="C80" s="17">
        <v>0.14350370997581413</v>
      </c>
      <c r="D80" s="19">
        <v>-5.8127234062251558</v>
      </c>
      <c r="E80" s="17">
        <v>83.810439368101143</v>
      </c>
      <c r="F80" s="17">
        <v>1.1749454408458387E-4</v>
      </c>
      <c r="G80" s="19">
        <v>-1.1973240753472933E-2</v>
      </c>
      <c r="H80" s="17">
        <v>0.33732349342003837</v>
      </c>
      <c r="I80" s="17">
        <v>-1.3686484006839228</v>
      </c>
      <c r="J80" s="2">
        <f t="shared" si="9"/>
        <v>1250</v>
      </c>
      <c r="K80" s="4">
        <f t="shared" si="15"/>
        <v>17.908739742427418</v>
      </c>
      <c r="L80" s="10">
        <f t="shared" si="11"/>
        <v>1250</v>
      </c>
      <c r="M80" s="4">
        <f t="shared" si="14"/>
        <v>17.908739742427418</v>
      </c>
      <c r="S80" s="4">
        <f t="shared" si="12"/>
        <v>15.68939087352949</v>
      </c>
      <c r="T80" s="23">
        <v>6.1962731627622301E-2</v>
      </c>
      <c r="U80" s="4">
        <f t="shared" si="13"/>
        <v>20.128088611325346</v>
      </c>
    </row>
    <row r="81" spans="1:21" x14ac:dyDescent="0.3">
      <c r="A81" s="7">
        <v>1600</v>
      </c>
      <c r="B81" s="17">
        <v>-1.4885398306771892E-3</v>
      </c>
      <c r="C81" s="17">
        <v>0.17480398224793758</v>
      </c>
      <c r="D81" s="19">
        <v>-6.6598782052401448</v>
      </c>
      <c r="E81" s="17">
        <v>88.135608891843432</v>
      </c>
      <c r="F81" s="17">
        <v>8.2573900485609632E-5</v>
      </c>
      <c r="G81" s="19">
        <v>-7.7790539584531356E-3</v>
      </c>
      <c r="H81" s="17">
        <v>0.18784960216357963</v>
      </c>
      <c r="I81" s="17">
        <v>-5.1519341159248278E-2</v>
      </c>
      <c r="J81" s="2">
        <f t="shared" si="9"/>
        <v>1600</v>
      </c>
      <c r="K81" s="4">
        <f t="shared" si="15"/>
        <v>12.706344770914717</v>
      </c>
      <c r="L81" s="10">
        <f t="shared" si="11"/>
        <v>1600</v>
      </c>
      <c r="M81" s="4">
        <f t="shared" si="14"/>
        <v>12.706344770914717</v>
      </c>
      <c r="S81" s="4">
        <f t="shared" si="12"/>
        <v>11.169292585301962</v>
      </c>
      <c r="T81" s="23">
        <v>6.0483648654455026E-2</v>
      </c>
      <c r="U81" s="4">
        <f t="shared" si="13"/>
        <v>14.243396956527471</v>
      </c>
    </row>
    <row r="82" spans="1:21" x14ac:dyDescent="0.3">
      <c r="A82" s="7">
        <v>2000</v>
      </c>
      <c r="B82" s="17">
        <v>-7.8110954184654451E-4</v>
      </c>
      <c r="C82" s="17">
        <v>0.10074313266147544</v>
      </c>
      <c r="D82" s="19">
        <v>-4.3068092865856427</v>
      </c>
      <c r="E82" s="17">
        <v>65.23219089129239</v>
      </c>
      <c r="F82" s="17">
        <v>7.9478463068903938E-6</v>
      </c>
      <c r="G82" s="19">
        <v>-2.2882542501630892E-4</v>
      </c>
      <c r="H82" s="17">
        <v>-3.3177256621180304E-2</v>
      </c>
      <c r="I82" s="17">
        <v>1.4996587690054841</v>
      </c>
      <c r="J82" s="2">
        <f t="shared" si="9"/>
        <v>2000</v>
      </c>
      <c r="K82" s="4">
        <f t="shared" si="15"/>
        <v>9.9997271758310813</v>
      </c>
      <c r="L82" s="10">
        <f t="shared" si="11"/>
        <v>2000</v>
      </c>
      <c r="M82" s="4">
        <f t="shared" si="14"/>
        <v>9.9997271758310813</v>
      </c>
      <c r="S82" s="4">
        <f t="shared" si="12"/>
        <v>8.4672481109342463</v>
      </c>
      <c r="T82" s="23">
        <v>7.6626043788513148E-2</v>
      </c>
      <c r="U82" s="4">
        <f t="shared" si="13"/>
        <v>11.532206240727916</v>
      </c>
    </row>
    <row r="83" spans="1:21" x14ac:dyDescent="0.3">
      <c r="A83" s="7">
        <v>2500</v>
      </c>
      <c r="B83" s="17">
        <v>-3.1902053816352806E-4</v>
      </c>
      <c r="C83" s="17">
        <v>4.2600623733017859E-2</v>
      </c>
      <c r="D83" s="19">
        <v>-1.9230394020074322</v>
      </c>
      <c r="E83" s="17">
        <v>35.134382261894586</v>
      </c>
      <c r="F83" s="17">
        <v>-5.1727316294530336E-5</v>
      </c>
      <c r="G83" s="19">
        <v>6.1916649645385761E-3</v>
      </c>
      <c r="H83" s="17">
        <v>-0.25086861063552884</v>
      </c>
      <c r="I83" s="17">
        <v>3.6333631719329533</v>
      </c>
      <c r="J83" s="2">
        <f t="shared" si="9"/>
        <v>2500</v>
      </c>
      <c r="K83" s="4">
        <f t="shared" si="15"/>
        <v>9.4276696299351421</v>
      </c>
      <c r="L83" s="10">
        <f t="shared" si="11"/>
        <v>2500</v>
      </c>
      <c r="M83" s="4">
        <f t="shared" si="14"/>
        <v>9.4276696299351421</v>
      </c>
      <c r="S83" s="4">
        <f t="shared" si="12"/>
        <v>8.0572471692581615</v>
      </c>
      <c r="T83" s="23">
        <v>7.2680869953564972E-2</v>
      </c>
      <c r="U83" s="4">
        <f t="shared" si="13"/>
        <v>10.798092090612123</v>
      </c>
    </row>
    <row r="84" spans="1:21" x14ac:dyDescent="0.3">
      <c r="A84" s="7">
        <v>3150</v>
      </c>
      <c r="B84" s="17">
        <v>6.4688929079601649E-4</v>
      </c>
      <c r="C84" s="17">
        <v>-5.2982403036154133E-2</v>
      </c>
      <c r="D84" s="19">
        <v>1.0478043716175525</v>
      </c>
      <c r="E84" s="17">
        <v>5.5312133421786598</v>
      </c>
      <c r="F84" s="17">
        <v>-8.4189545133525156E-5</v>
      </c>
      <c r="G84" s="19">
        <v>9.130536993375054E-3</v>
      </c>
      <c r="H84" s="17">
        <v>-0.33246933411702023</v>
      </c>
      <c r="I84" s="17">
        <v>4.3712636653108019</v>
      </c>
      <c r="J84" s="2">
        <f t="shared" si="9"/>
        <v>3150</v>
      </c>
      <c r="K84" s="4">
        <f t="shared" si="15"/>
        <v>9.3821855783696293</v>
      </c>
      <c r="L84" s="10">
        <f t="shared" si="11"/>
        <v>3150</v>
      </c>
      <c r="M84" s="4">
        <f t="shared" si="14"/>
        <v>9.3821855783696293</v>
      </c>
      <c r="S84" s="4">
        <f t="shared" si="12"/>
        <v>8.1171072069495303</v>
      </c>
      <c r="T84" s="23">
        <v>6.7419172262841498E-2</v>
      </c>
      <c r="U84" s="4">
        <f t="shared" si="13"/>
        <v>10.647263949789728</v>
      </c>
    </row>
    <row r="85" spans="1:21" x14ac:dyDescent="0.3">
      <c r="A85" s="7">
        <v>4000</v>
      </c>
      <c r="B85" s="17">
        <v>1.0572329741856397E-3</v>
      </c>
      <c r="C85" s="17">
        <v>-9.876053330261797E-2</v>
      </c>
      <c r="D85" s="19">
        <v>2.6045201681788517</v>
      </c>
      <c r="E85" s="17">
        <v>-9.0974275929597184</v>
      </c>
      <c r="F85" s="17">
        <v>-8.7120039966406072E-5</v>
      </c>
      <c r="G85" s="19">
        <v>9.275388727988396E-3</v>
      </c>
      <c r="H85" s="17">
        <v>-0.32187708891713385</v>
      </c>
      <c r="I85" s="17">
        <v>3.8356458938129512</v>
      </c>
      <c r="J85" s="2">
        <f t="shared" si="9"/>
        <v>4000</v>
      </c>
      <c r="K85" s="4">
        <f t="shared" si="15"/>
        <v>9.0624374388380389</v>
      </c>
      <c r="L85" s="10">
        <f t="shared" si="11"/>
        <v>4000</v>
      </c>
      <c r="M85" s="4">
        <f t="shared" si="14"/>
        <v>9.0624374388380389</v>
      </c>
      <c r="S85" s="4">
        <f t="shared" si="12"/>
        <v>7.5924396494557582</v>
      </c>
      <c r="T85" s="23">
        <v>8.1103886195255201E-2</v>
      </c>
      <c r="U85" s="4">
        <f t="shared" si="13"/>
        <v>10.532435228220319</v>
      </c>
    </row>
    <row r="86" spans="1:21" x14ac:dyDescent="0.3">
      <c r="A86" s="7">
        <v>5000</v>
      </c>
      <c r="B86" s="17">
        <v>7.8770182064913027E-4</v>
      </c>
      <c r="C86" s="17">
        <v>-7.6488269195747374E-2</v>
      </c>
      <c r="D86" s="19">
        <v>2.0286157132006322</v>
      </c>
      <c r="E86" s="17">
        <v>-3.2591724002408924</v>
      </c>
      <c r="F86" s="17">
        <v>-4.290489885865938E-5</v>
      </c>
      <c r="G86" s="19">
        <v>4.6460676765602126E-3</v>
      </c>
      <c r="H86" s="17">
        <v>-0.16471638820579715</v>
      </c>
      <c r="I86" s="17">
        <v>2.1062995963169207</v>
      </c>
      <c r="J86" s="2">
        <f t="shared" si="9"/>
        <v>5000</v>
      </c>
      <c r="K86" s="4">
        <f t="shared" si="15"/>
        <v>10.33384807020879</v>
      </c>
      <c r="L86" s="10">
        <f t="shared" si="11"/>
        <v>5000</v>
      </c>
      <c r="M86" s="4">
        <f t="shared" si="14"/>
        <v>10.33384807020879</v>
      </c>
      <c r="S86" s="4">
        <f t="shared" si="12"/>
        <v>8.0572990283799335</v>
      </c>
      <c r="T86" s="23">
        <v>0.11015011186354993</v>
      </c>
      <c r="U86" s="4">
        <f t="shared" si="13"/>
        <v>12.610397112037646</v>
      </c>
    </row>
    <row r="87" spans="1:21" x14ac:dyDescent="0.3">
      <c r="A87" s="7">
        <v>6300</v>
      </c>
      <c r="B87" s="17">
        <v>8.5406683716114271E-4</v>
      </c>
      <c r="C87" s="17">
        <v>-8.15799732183876E-2</v>
      </c>
      <c r="D87" s="19">
        <v>2.081403223035132</v>
      </c>
      <c r="E87" s="17">
        <v>-2.1448041951766612</v>
      </c>
      <c r="F87" s="17">
        <v>-3.0885039669913919E-5</v>
      </c>
      <c r="G87" s="19">
        <v>3.496062273158098E-3</v>
      </c>
      <c r="H87" s="17">
        <v>-0.12949027343954159</v>
      </c>
      <c r="I87" s="17">
        <v>1.7800133069910224</v>
      </c>
      <c r="J87" s="2">
        <f t="shared" si="9"/>
        <v>6300</v>
      </c>
      <c r="K87" s="4">
        <f t="shared" si="15"/>
        <v>10.029725272761784</v>
      </c>
      <c r="L87" s="10">
        <f t="shared" si="11"/>
        <v>6300</v>
      </c>
      <c r="M87" s="4">
        <f t="shared" si="14"/>
        <v>10.029725272761784</v>
      </c>
      <c r="S87" s="4">
        <f t="shared" si="12"/>
        <v>7.8278264952327223</v>
      </c>
      <c r="T87" s="23">
        <v>0.10976864857449614</v>
      </c>
      <c r="U87" s="4">
        <f t="shared" si="13"/>
        <v>12.231624050290845</v>
      </c>
    </row>
    <row r="88" spans="1:21" x14ac:dyDescent="0.3">
      <c r="A88" s="7">
        <v>8000</v>
      </c>
      <c r="B88" s="17">
        <v>1.04564222499788E-3</v>
      </c>
      <c r="C88" s="17">
        <v>-0.10061879608310283</v>
      </c>
      <c r="D88" s="19">
        <v>2.6428922708405409</v>
      </c>
      <c r="E88" s="17">
        <v>-6.7438259486940524</v>
      </c>
      <c r="F88" s="17">
        <v>-3.6657530007886373E-5</v>
      </c>
      <c r="G88" s="19">
        <v>3.9189110469102593E-3</v>
      </c>
      <c r="H88" s="17">
        <v>-0.13472350095691707</v>
      </c>
      <c r="I88" s="17">
        <v>1.7138790753312372</v>
      </c>
      <c r="J88" s="2">
        <f t="shared" si="9"/>
        <v>8000</v>
      </c>
      <c r="K88" s="4">
        <f t="shared" si="15"/>
        <v>10.270540291814839</v>
      </c>
      <c r="L88" s="10">
        <f t="shared" si="11"/>
        <v>8000</v>
      </c>
      <c r="M88" s="4">
        <f t="shared" si="14"/>
        <v>10.270540291814839</v>
      </c>
      <c r="S88" s="4">
        <f t="shared" si="12"/>
        <v>8.1000922508059539</v>
      </c>
      <c r="T88" s="23">
        <v>0.10566377129831403</v>
      </c>
      <c r="U88" s="4">
        <f t="shared" si="13"/>
        <v>12.440988332823725</v>
      </c>
    </row>
    <row r="89" spans="1:21" x14ac:dyDescent="0.3">
      <c r="A89" s="12">
        <v>10000</v>
      </c>
      <c r="B89" s="20">
        <v>1.7281770702789016E-3</v>
      </c>
      <c r="C89" s="20">
        <v>-0.17306153002765939</v>
      </c>
      <c r="D89" s="21">
        <v>5.0363723500230906</v>
      </c>
      <c r="E89" s="20">
        <v>-31.076511606965894</v>
      </c>
      <c r="F89" s="20">
        <v>-1.0877772802532407E-4</v>
      </c>
      <c r="G89" s="21">
        <v>1.1418496441178247E-2</v>
      </c>
      <c r="H89" s="17">
        <v>-0.37670101907632747</v>
      </c>
      <c r="I89" s="17">
        <v>4.0724052930728991</v>
      </c>
      <c r="J89" s="2">
        <f t="shared" si="9"/>
        <v>10000</v>
      </c>
      <c r="K89" s="4">
        <f t="shared" si="15"/>
        <v>10.091074199090214</v>
      </c>
      <c r="L89" s="10">
        <f t="shared" si="11"/>
        <v>10000</v>
      </c>
      <c r="M89" s="4">
        <f t="shared" si="14"/>
        <v>10.091074199090214</v>
      </c>
      <c r="S89" s="4">
        <f t="shared" si="12"/>
        <v>5.0141428165174311</v>
      </c>
      <c r="T89" s="23">
        <v>0.25155554713047823</v>
      </c>
      <c r="U89" s="4">
        <f t="shared" si="13"/>
        <v>15.168005581662996</v>
      </c>
    </row>
    <row r="91" spans="1:21" x14ac:dyDescent="0.3">
      <c r="K91" s="107"/>
      <c r="M91" s="2"/>
      <c r="P91" s="2"/>
      <c r="Q91" s="4"/>
    </row>
    <row r="92" spans="1:21" x14ac:dyDescent="0.3">
      <c r="K92" s="107"/>
      <c r="L92" s="2"/>
      <c r="M92" s="2"/>
      <c r="O92" s="2"/>
      <c r="P92" s="3"/>
      <c r="Q92" s="2"/>
      <c r="R92" s="2"/>
      <c r="S92" s="2"/>
    </row>
    <row r="93" spans="1:21" x14ac:dyDescent="0.3">
      <c r="K93" s="107"/>
      <c r="L93" s="2"/>
      <c r="M93" s="2"/>
      <c r="O93" s="2"/>
      <c r="P93" s="3"/>
      <c r="Q93" s="2"/>
      <c r="R93" s="2"/>
      <c r="S93" s="2"/>
    </row>
    <row r="94" spans="1:21" x14ac:dyDescent="0.3">
      <c r="K94" s="107"/>
      <c r="L94" s="2"/>
      <c r="M94" s="2"/>
      <c r="N94" s="3"/>
      <c r="O94" s="2"/>
      <c r="P94" s="3"/>
      <c r="Q94" s="25"/>
      <c r="R94" s="24"/>
      <c r="S94" s="25"/>
    </row>
    <row r="95" spans="1:21" x14ac:dyDescent="0.3">
      <c r="A95" s="6" t="s">
        <v>12</v>
      </c>
      <c r="B95" s="6" t="s">
        <v>6</v>
      </c>
      <c r="C95" s="6" t="s">
        <v>7</v>
      </c>
      <c r="D95" s="6" t="s">
        <v>8</v>
      </c>
      <c r="E95" s="6" t="s">
        <v>13</v>
      </c>
      <c r="F95" s="6" t="s">
        <v>9</v>
      </c>
      <c r="G95" s="6" t="s">
        <v>10</v>
      </c>
      <c r="H95" s="6" t="s">
        <v>11</v>
      </c>
      <c r="I95" s="6" t="s">
        <v>14</v>
      </c>
      <c r="J95" s="6"/>
      <c r="K95" s="2"/>
      <c r="Q95" s="2"/>
      <c r="S95" s="25" t="s">
        <v>18</v>
      </c>
      <c r="T95" s="24" t="s">
        <v>16</v>
      </c>
      <c r="U95" s="25" t="s">
        <v>17</v>
      </c>
    </row>
    <row r="96" spans="1:21" x14ac:dyDescent="0.3">
      <c r="A96" s="7">
        <v>50</v>
      </c>
      <c r="B96" s="17">
        <v>1.3070945691953149E-4</v>
      </c>
      <c r="C96" s="17">
        <v>-5.7134549176191566E-3</v>
      </c>
      <c r="D96" s="18">
        <v>-8.7046093764613017E-2</v>
      </c>
      <c r="E96" s="17">
        <v>4.6761651427968252</v>
      </c>
      <c r="F96" s="17">
        <v>-6.1409357298713244E-6</v>
      </c>
      <c r="G96" s="18">
        <v>7.2482710475431833E-4</v>
      </c>
      <c r="H96" s="17">
        <v>-2.5317284060858994E-2</v>
      </c>
      <c r="I96" s="17">
        <v>0.28365625804427302</v>
      </c>
      <c r="J96" s="2">
        <f t="shared" ref="J96:J119" si="16">A96</f>
        <v>50</v>
      </c>
      <c r="K96" s="4">
        <f t="shared" ref="K96:K103" si="17">IF(N$1&lt;&gt;0,0,IF(K$1&gt;26.25,0,IF(K$2&lt;12,0,IF(K$2&gt;48.1,0,B96*K$2^3+C96*K$2^2+D96*K$2+E96+K$1*(F96*K$2^3+G96*K$2^2+H96*K$2+I96)))))</f>
        <v>0.61272554910503008</v>
      </c>
      <c r="L96" s="10">
        <f t="shared" ref="L96:L119" si="18">J96</f>
        <v>50</v>
      </c>
      <c r="M96" s="4">
        <f>IF(M97=0,0,IF(K96&lt;0,0,IF(K96&gt;50,50,K96)))</f>
        <v>0.61272554910503008</v>
      </c>
      <c r="O96" s="2">
        <v>63</v>
      </c>
      <c r="P96" s="4">
        <f>-10*LOG((10^(-M96/10)+10^(-M97/10)+10^(-M98/10))/3)</f>
        <v>1.1219377690683683</v>
      </c>
      <c r="S96" s="4">
        <f t="shared" ref="S96:S119" si="19">$M96-2*$T96*$M96</f>
        <v>-1.0568398960976055E-2</v>
      </c>
      <c r="T96" s="23">
        <v>0.50862408869387987</v>
      </c>
      <c r="U96" s="4">
        <f t="shared" ref="U96:U119" si="20">$M96+2*$T96*$M96</f>
        <v>1.2360194971710361</v>
      </c>
    </row>
    <row r="97" spans="1:21" x14ac:dyDescent="0.3">
      <c r="A97" s="7">
        <v>63</v>
      </c>
      <c r="B97" s="17">
        <v>3.6032450710577016E-4</v>
      </c>
      <c r="C97" s="17">
        <v>-3.6376350133754537E-2</v>
      </c>
      <c r="D97" s="19">
        <v>1.092614619339551</v>
      </c>
      <c r="E97" s="17">
        <v>-8.3125827715722238</v>
      </c>
      <c r="F97" s="17">
        <v>-1.2918806965813034E-5</v>
      </c>
      <c r="G97" s="19">
        <v>1.3716851579635315E-3</v>
      </c>
      <c r="H97" s="17">
        <v>-4.5655551479568755E-2</v>
      </c>
      <c r="I97" s="17">
        <v>0.51110588802883117</v>
      </c>
      <c r="J97" s="2">
        <f t="shared" si="16"/>
        <v>63</v>
      </c>
      <c r="K97" s="4">
        <f t="shared" si="17"/>
        <v>1.3261460801543405</v>
      </c>
      <c r="L97" s="10">
        <f t="shared" si="18"/>
        <v>63</v>
      </c>
      <c r="M97" s="4">
        <f>IF(M98=0,0,IF(K97&lt;0,0,IF(K97&gt;50,50,K97)))</f>
        <v>1.3261460801543405</v>
      </c>
      <c r="O97" s="2">
        <v>125</v>
      </c>
      <c r="P97" s="4">
        <f>-10*LOG((10^(-M99/10)+10^(-M100/10)+10^(-M101/10))/3)</f>
        <v>3.4792447511151163</v>
      </c>
      <c r="S97" s="4">
        <f t="shared" si="19"/>
        <v>-0.45021356835621984</v>
      </c>
      <c r="T97" s="23">
        <v>0.66974508883056938</v>
      </c>
      <c r="U97" s="4">
        <f t="shared" si="20"/>
        <v>3.1025057286649007</v>
      </c>
    </row>
    <row r="98" spans="1:21" x14ac:dyDescent="0.3">
      <c r="A98" s="7">
        <v>80</v>
      </c>
      <c r="B98" s="17">
        <v>7.10010519186206E-5</v>
      </c>
      <c r="C98" s="17">
        <v>-2.7481356942361218E-3</v>
      </c>
      <c r="D98" s="19">
        <v>-7.7676102009832437E-2</v>
      </c>
      <c r="E98" s="17">
        <v>2.7651219663160065</v>
      </c>
      <c r="F98" s="17">
        <v>-9.0509803414471199E-6</v>
      </c>
      <c r="G98" s="19">
        <v>9.2264198913162912E-4</v>
      </c>
      <c r="H98" s="17">
        <v>-3.3455899516429057E-2</v>
      </c>
      <c r="I98" s="17">
        <v>0.54808510915270348</v>
      </c>
      <c r="J98" s="2">
        <f t="shared" si="16"/>
        <v>80</v>
      </c>
      <c r="K98" s="4">
        <f t="shared" si="17"/>
        <v>1.476836597526564</v>
      </c>
      <c r="L98" s="10">
        <f t="shared" si="18"/>
        <v>80</v>
      </c>
      <c r="M98" s="4">
        <f>IF(M99=0,0,IF(K98&lt;0,0,IF(K98&gt;50,50,K98)))</f>
        <v>1.476836597526564</v>
      </c>
      <c r="O98" s="2">
        <v>250</v>
      </c>
      <c r="P98" s="4">
        <f>-10*LOG((10^(-M102/10)+10^(-M103/10)+10^(-M104/10))/3)</f>
        <v>10.126662736945299</v>
      </c>
      <c r="S98" s="4">
        <f t="shared" si="19"/>
        <v>0.6420083295973652</v>
      </c>
      <c r="T98" s="23">
        <v>0.28264070288053067</v>
      </c>
      <c r="U98" s="4">
        <f t="shared" si="20"/>
        <v>2.311664865455763</v>
      </c>
    </row>
    <row r="99" spans="1:21" x14ac:dyDescent="0.3">
      <c r="A99" s="7">
        <v>100</v>
      </c>
      <c r="B99" s="17">
        <v>1.0794735790394556E-4</v>
      </c>
      <c r="C99" s="17">
        <v>-8.7172800822630757E-3</v>
      </c>
      <c r="D99" s="19">
        <v>0.18470122405778047</v>
      </c>
      <c r="E99" s="17">
        <v>-0.33164047107348971</v>
      </c>
      <c r="F99" s="17">
        <v>-1.7712632567565937E-5</v>
      </c>
      <c r="G99" s="19">
        <v>1.9349019184090232E-3</v>
      </c>
      <c r="H99" s="17">
        <v>-7.1425485812210823E-2</v>
      </c>
      <c r="I99" s="17">
        <v>1.0550806212904416</v>
      </c>
      <c r="J99" s="2">
        <f t="shared" si="16"/>
        <v>100</v>
      </c>
      <c r="K99" s="4">
        <f t="shared" si="17"/>
        <v>2.5313320373089883</v>
      </c>
      <c r="L99" s="10">
        <f t="shared" si="18"/>
        <v>100</v>
      </c>
      <c r="M99" s="4">
        <f>IF(M100=0,0,IF(K99&lt;0,0,IF(K99&gt;50,50,K99)))</f>
        <v>2.5313320373089883</v>
      </c>
      <c r="O99" s="2">
        <v>500</v>
      </c>
      <c r="P99" s="4">
        <f>-10*LOG((10^(-M105/10)+10^(-M106/10)+10^(-M107/10))/3)</f>
        <v>33.38202490113909</v>
      </c>
      <c r="S99" s="4">
        <f t="shared" si="19"/>
        <v>1.6814181262642189</v>
      </c>
      <c r="T99" s="23">
        <v>0.16787878842403797</v>
      </c>
      <c r="U99" s="4">
        <f t="shared" si="20"/>
        <v>3.3812459483537576</v>
      </c>
    </row>
    <row r="100" spans="1:21" x14ac:dyDescent="0.3">
      <c r="A100" s="7">
        <v>125</v>
      </c>
      <c r="B100" s="17">
        <v>2.4065239765860809E-5</v>
      </c>
      <c r="C100" s="17">
        <v>1.3932490876938861E-3</v>
      </c>
      <c r="D100" s="19">
        <v>-0.20340730281799199</v>
      </c>
      <c r="E100" s="17">
        <v>4.1277258315903378</v>
      </c>
      <c r="F100" s="17">
        <v>-1.2709029844693792E-5</v>
      </c>
      <c r="G100" s="19">
        <v>1.4973266982109285E-3</v>
      </c>
      <c r="H100" s="17">
        <v>-6.2294870503426643E-2</v>
      </c>
      <c r="I100" s="17">
        <v>1.126572517863992</v>
      </c>
      <c r="J100" s="2">
        <f t="shared" si="16"/>
        <v>125</v>
      </c>
      <c r="K100" s="4">
        <f t="shared" si="17"/>
        <v>3.206602837129342</v>
      </c>
      <c r="L100" s="10">
        <f t="shared" si="18"/>
        <v>125</v>
      </c>
      <c r="M100" s="4">
        <f>IF(M101=0,0,IF(K100&lt;0,0,IF(K100&gt;50,50,K100)))</f>
        <v>3.206602837129342</v>
      </c>
      <c r="O100" s="2">
        <v>1000</v>
      </c>
      <c r="P100" s="4">
        <f>-10*LOG((10^(-M108/10)+10^(-M109/10)+10^(-M110/10))/3)</f>
        <v>21.442742812548488</v>
      </c>
      <c r="S100" s="4">
        <f t="shared" si="19"/>
        <v>2.4864593802063424</v>
      </c>
      <c r="T100" s="23">
        <v>0.11229071598522257</v>
      </c>
      <c r="U100" s="4">
        <f t="shared" si="20"/>
        <v>3.9267462940523417</v>
      </c>
    </row>
    <row r="101" spans="1:21" x14ac:dyDescent="0.3">
      <c r="A101" s="7">
        <v>160</v>
      </c>
      <c r="B101" s="17">
        <v>4.0455805430322079E-5</v>
      </c>
      <c r="C101" s="17">
        <v>-1.3818580771832261E-3</v>
      </c>
      <c r="D101" s="19">
        <v>-4.9373959701440796E-2</v>
      </c>
      <c r="E101" s="17">
        <v>1.6145314211825765</v>
      </c>
      <c r="F101" s="17">
        <v>-1.9743566169666793E-5</v>
      </c>
      <c r="G101" s="19">
        <v>2.3112728143755406E-3</v>
      </c>
      <c r="H101" s="17">
        <v>-9.6885823374805863E-2</v>
      </c>
      <c r="I101" s="17">
        <v>1.7568983926816091</v>
      </c>
      <c r="J101" s="2">
        <f t="shared" si="16"/>
        <v>160</v>
      </c>
      <c r="K101" s="4">
        <f t="shared" si="17"/>
        <v>5.0826242931682231</v>
      </c>
      <c r="L101" s="10">
        <f t="shared" si="18"/>
        <v>160</v>
      </c>
      <c r="M101" s="4">
        <f t="shared" ref="M101:M119" si="21">IF(K101&lt;0,0,IF(K101&gt;50,50,K101))</f>
        <v>5.0826242931682231</v>
      </c>
      <c r="O101" s="2">
        <v>2000</v>
      </c>
      <c r="P101" s="4">
        <f>-10*LOG((10^(-M111/10)+10^(-M112/10)+10^(-M113/10))/3)</f>
        <v>10.876364898143965</v>
      </c>
      <c r="S101" s="4">
        <f t="shared" si="19"/>
        <v>4.5321785396262477</v>
      </c>
      <c r="T101" s="23">
        <v>5.4149758254004053E-2</v>
      </c>
      <c r="U101" s="4">
        <f t="shared" si="20"/>
        <v>5.6330700467101984</v>
      </c>
    </row>
    <row r="102" spans="1:21" x14ac:dyDescent="0.3">
      <c r="A102" s="7">
        <v>200</v>
      </c>
      <c r="B102" s="17">
        <v>-7.2299585785562913E-5</v>
      </c>
      <c r="C102" s="17">
        <v>8.5794435956498011E-3</v>
      </c>
      <c r="D102" s="19">
        <v>-0.32150377271286412</v>
      </c>
      <c r="E102" s="17">
        <v>3.9515450558341345</v>
      </c>
      <c r="F102" s="17">
        <v>-1.8894536822776419E-5</v>
      </c>
      <c r="G102" s="19">
        <v>2.5345395081778754E-3</v>
      </c>
      <c r="H102" s="17">
        <v>-0.11948319771794494</v>
      </c>
      <c r="I102" s="17">
        <v>2.372304117655867</v>
      </c>
      <c r="J102" s="2">
        <f t="shared" si="16"/>
        <v>200</v>
      </c>
      <c r="K102" s="4">
        <f t="shared" si="17"/>
        <v>7.2350890497957305</v>
      </c>
      <c r="L102" s="10">
        <f t="shared" si="18"/>
        <v>200</v>
      </c>
      <c r="M102" s="4">
        <f t="shared" si="21"/>
        <v>7.2350890497957305</v>
      </c>
      <c r="O102" s="2">
        <v>4000</v>
      </c>
      <c r="P102" s="4">
        <f>-10*LOG((10^(-M114/10)+10^(-M115/10)+10^(-M116/10))/3)</f>
        <v>10.96533333095409</v>
      </c>
      <c r="S102" s="4">
        <f t="shared" si="19"/>
        <v>6.8713124839483202</v>
      </c>
      <c r="T102" s="23">
        <v>2.5139743501683728E-2</v>
      </c>
      <c r="U102" s="4">
        <f t="shared" si="20"/>
        <v>7.5988656156431409</v>
      </c>
    </row>
    <row r="103" spans="1:21" x14ac:dyDescent="0.3">
      <c r="A103" s="7">
        <v>250</v>
      </c>
      <c r="B103" s="17">
        <v>2.0118497286067315E-5</v>
      </c>
      <c r="C103" s="17">
        <v>-7.4435423443305394E-4</v>
      </c>
      <c r="D103" s="19">
        <v>-3.9826506943497923E-2</v>
      </c>
      <c r="E103" s="17">
        <v>1.6891952764399361</v>
      </c>
      <c r="F103" s="17">
        <v>-3.2133371176695078E-5</v>
      </c>
      <c r="G103" s="19">
        <v>4.239686838668287E-3</v>
      </c>
      <c r="H103" s="17">
        <v>-0.18692864910726578</v>
      </c>
      <c r="I103" s="17">
        <v>3.4133147027006956</v>
      </c>
      <c r="J103" s="2">
        <f t="shared" si="16"/>
        <v>250</v>
      </c>
      <c r="K103" s="4">
        <f t="shared" si="17"/>
        <v>10.418950230027662</v>
      </c>
      <c r="L103" s="10">
        <f t="shared" si="18"/>
        <v>250</v>
      </c>
      <c r="M103" s="4">
        <f t="shared" si="21"/>
        <v>10.418950230027662</v>
      </c>
      <c r="O103" s="2">
        <v>8000</v>
      </c>
      <c r="P103" s="4">
        <f>-10*LOG((10^(-M117/10)+10^(-M118/10)+10^(-M119/10))/3)</f>
        <v>10.259399637746355</v>
      </c>
      <c r="S103" s="4">
        <f t="shared" si="19"/>
        <v>9.7188856003326141</v>
      </c>
      <c r="T103" s="23">
        <v>3.3595737297863457E-2</v>
      </c>
      <c r="U103" s="4">
        <f t="shared" si="20"/>
        <v>11.119014859722709</v>
      </c>
    </row>
    <row r="104" spans="1:21" x14ac:dyDescent="0.3">
      <c r="A104" s="7">
        <v>315</v>
      </c>
      <c r="B104" s="17">
        <v>1.4154990576936873E-4</v>
      </c>
      <c r="C104" s="17">
        <v>-1.1146130785935871E-2</v>
      </c>
      <c r="D104" s="19">
        <v>0.24690834439516227</v>
      </c>
      <c r="E104" s="17">
        <v>-1.0369982435544731</v>
      </c>
      <c r="F104" s="17">
        <v>-7.4858671553020462E-5</v>
      </c>
      <c r="G104" s="19">
        <v>8.3854338163020323E-3</v>
      </c>
      <c r="H104" s="17">
        <v>-0.31295254324972788</v>
      </c>
      <c r="I104" s="17">
        <v>5.1820374912700427</v>
      </c>
      <c r="J104" s="2">
        <f t="shared" si="16"/>
        <v>315</v>
      </c>
      <c r="K104" s="4">
        <f t="shared" ref="K104:K119" si="22">IF(N$1&lt;&gt;0,0,IF(K$1&gt;26.25,0,IF(K$2&lt;12,0,IF(K$2&gt;48.1,0,B104*K$2^3+C104*K$2^2+D104*K$2+E104+K$1*(F104*K$2^3+G104*K$2^2+H104*K$2+I104)))))</f>
        <v>19.370398763117397</v>
      </c>
      <c r="L104" s="10">
        <f t="shared" si="18"/>
        <v>315</v>
      </c>
      <c r="M104" s="4">
        <f t="shared" si="21"/>
        <v>19.370398763117397</v>
      </c>
      <c r="S104" s="4">
        <f t="shared" si="19"/>
        <v>18.597347214003239</v>
      </c>
      <c r="T104" s="23">
        <v>1.9954456244496706E-2</v>
      </c>
      <c r="U104" s="4">
        <f t="shared" si="20"/>
        <v>20.143450312231554</v>
      </c>
    </row>
    <row r="105" spans="1:21" x14ac:dyDescent="0.3">
      <c r="A105" s="7">
        <v>400</v>
      </c>
      <c r="B105" s="17">
        <v>6.5535865891266974E-4</v>
      </c>
      <c r="C105" s="17">
        <v>-5.6012261407832997E-2</v>
      </c>
      <c r="D105" s="19">
        <v>1.3375642192817976</v>
      </c>
      <c r="E105" s="17">
        <v>2.1204810093444664</v>
      </c>
      <c r="F105" s="17">
        <v>-3.5524930843903707E-5</v>
      </c>
      <c r="G105" s="19">
        <v>3.8618005663329895E-3</v>
      </c>
      <c r="H105" s="17">
        <v>-0.14444813520917091</v>
      </c>
      <c r="I105" s="17">
        <v>3.3261812568502709</v>
      </c>
      <c r="J105" s="2">
        <f t="shared" si="16"/>
        <v>400</v>
      </c>
      <c r="K105" s="4">
        <f t="shared" si="22"/>
        <v>30.359676956684662</v>
      </c>
      <c r="L105" s="10">
        <f t="shared" si="18"/>
        <v>400</v>
      </c>
      <c r="M105" s="4">
        <f t="shared" si="21"/>
        <v>30.359676956684662</v>
      </c>
      <c r="S105" s="4">
        <f t="shared" si="19"/>
        <v>24.397460887413835</v>
      </c>
      <c r="T105" s="23">
        <v>9.8193009065566716E-2</v>
      </c>
      <c r="U105" s="4">
        <f t="shared" si="20"/>
        <v>36.32189302595549</v>
      </c>
    </row>
    <row r="106" spans="1:21" x14ac:dyDescent="0.3">
      <c r="A106" s="7">
        <v>500</v>
      </c>
      <c r="B106" s="17">
        <v>6.2247147565400445E-4</v>
      </c>
      <c r="C106" s="17">
        <v>-5.2520974552275203E-2</v>
      </c>
      <c r="D106" s="19">
        <v>1.2376098427689231</v>
      </c>
      <c r="E106" s="17">
        <v>8.6697096181930249</v>
      </c>
      <c r="F106" s="17">
        <v>-1.6623458892591983E-5</v>
      </c>
      <c r="G106" s="19">
        <v>2.1046947395980502E-3</v>
      </c>
      <c r="H106" s="17">
        <v>-9.1814377137983433E-2</v>
      </c>
      <c r="I106" s="17">
        <v>2.6697474350711481</v>
      </c>
      <c r="J106" s="2">
        <f t="shared" si="16"/>
        <v>500</v>
      </c>
      <c r="K106" s="4">
        <f t="shared" si="22"/>
        <v>33.946462244189505</v>
      </c>
      <c r="L106" s="10">
        <f t="shared" si="18"/>
        <v>500</v>
      </c>
      <c r="M106" s="4">
        <f t="shared" si="21"/>
        <v>33.946462244189505</v>
      </c>
      <c r="S106" s="4">
        <f t="shared" si="19"/>
        <v>24.437730609825756</v>
      </c>
      <c r="T106" s="23">
        <v>0.14005482465247646</v>
      </c>
      <c r="U106" s="4">
        <f t="shared" si="20"/>
        <v>43.455193878553253</v>
      </c>
    </row>
    <row r="107" spans="1:21" x14ac:dyDescent="0.3">
      <c r="A107" s="7">
        <v>630</v>
      </c>
      <c r="B107" s="17">
        <v>-5.7779287289314951E-4</v>
      </c>
      <c r="C107" s="17">
        <v>2.7702315641948413E-2</v>
      </c>
      <c r="D107" s="19">
        <v>-8.8630499975480323E-2</v>
      </c>
      <c r="E107" s="17">
        <v>15.883609603742038</v>
      </c>
      <c r="F107" s="17">
        <v>-1.2485838899886317E-4</v>
      </c>
      <c r="G107" s="19">
        <v>1.3630431253439984E-2</v>
      </c>
      <c r="H107" s="17">
        <v>-0.49416419720613203</v>
      </c>
      <c r="I107" s="17">
        <v>7.3561254864778354</v>
      </c>
      <c r="J107" s="2">
        <f t="shared" si="16"/>
        <v>630</v>
      </c>
      <c r="K107" s="4">
        <f t="shared" si="22"/>
        <v>42.725512814652262</v>
      </c>
      <c r="L107" s="10">
        <f t="shared" si="18"/>
        <v>630</v>
      </c>
      <c r="M107" s="4">
        <f t="shared" si="21"/>
        <v>42.725512814652262</v>
      </c>
      <c r="S107" s="4">
        <f t="shared" si="19"/>
        <v>32.846881550656342</v>
      </c>
      <c r="T107" s="23">
        <v>0.11560576589039967</v>
      </c>
      <c r="U107" s="4">
        <f t="shared" si="20"/>
        <v>52.604144078648183</v>
      </c>
    </row>
    <row r="108" spans="1:21" x14ac:dyDescent="0.3">
      <c r="A108" s="7">
        <v>800</v>
      </c>
      <c r="B108" s="17">
        <v>1.2737506541702999E-3</v>
      </c>
      <c r="C108" s="17">
        <v>-0.10575440622574142</v>
      </c>
      <c r="D108" s="19">
        <v>1.9175654938435152</v>
      </c>
      <c r="E108" s="17">
        <v>22.02857899337593</v>
      </c>
      <c r="F108" s="17">
        <v>4.6141735430174391E-5</v>
      </c>
      <c r="G108" s="19">
        <v>-6.0369649647676717E-3</v>
      </c>
      <c r="H108" s="17">
        <v>0.20451751832145604</v>
      </c>
      <c r="I108" s="17">
        <v>-0.41728389974537317</v>
      </c>
      <c r="J108" s="2">
        <f t="shared" si="16"/>
        <v>800</v>
      </c>
      <c r="K108" s="4">
        <f t="shared" si="22"/>
        <v>32.54477142992647</v>
      </c>
      <c r="L108" s="10">
        <f t="shared" si="18"/>
        <v>800</v>
      </c>
      <c r="M108" s="4">
        <f t="shared" si="21"/>
        <v>32.54477142992647</v>
      </c>
      <c r="S108" s="4">
        <f t="shared" si="19"/>
        <v>26.518732805503635</v>
      </c>
      <c r="T108" s="23">
        <v>9.2580748913811753E-2</v>
      </c>
      <c r="U108" s="4">
        <f t="shared" si="20"/>
        <v>38.570810054349302</v>
      </c>
    </row>
    <row r="109" spans="1:21" x14ac:dyDescent="0.3">
      <c r="A109" s="7">
        <v>1000</v>
      </c>
      <c r="B109" s="17">
        <v>-1.098052629851952E-3</v>
      </c>
      <c r="C109" s="17">
        <v>0.13752196670312722</v>
      </c>
      <c r="D109" s="19">
        <v>-5.6622954616852628</v>
      </c>
      <c r="E109" s="17">
        <v>86.046100113271848</v>
      </c>
      <c r="F109" s="17">
        <v>2.7331617054146323E-4</v>
      </c>
      <c r="G109" s="19">
        <v>-2.7693036711396574E-2</v>
      </c>
      <c r="H109" s="17">
        <v>0.81486518518433271</v>
      </c>
      <c r="I109" s="17">
        <v>-5.2299576991076471</v>
      </c>
      <c r="J109" s="2">
        <f t="shared" si="16"/>
        <v>1000</v>
      </c>
      <c r="K109" s="4">
        <f t="shared" si="22"/>
        <v>23.703978476595783</v>
      </c>
      <c r="L109" s="10">
        <f t="shared" si="18"/>
        <v>1000</v>
      </c>
      <c r="M109" s="4">
        <f t="shared" si="21"/>
        <v>23.703978476595783</v>
      </c>
      <c r="S109" s="4">
        <f t="shared" si="19"/>
        <v>19.251432668949278</v>
      </c>
      <c r="T109" s="23">
        <v>9.3919799413476987E-2</v>
      </c>
      <c r="U109" s="4">
        <f t="shared" si="20"/>
        <v>28.156524284242288</v>
      </c>
    </row>
    <row r="110" spans="1:21" x14ac:dyDescent="0.3">
      <c r="A110" s="7">
        <v>1250</v>
      </c>
      <c r="B110" s="17">
        <v>-2.6454497539142498E-3</v>
      </c>
      <c r="C110" s="17">
        <v>0.28901480220264525</v>
      </c>
      <c r="D110" s="19">
        <v>-10.302566999614758</v>
      </c>
      <c r="E110" s="17">
        <v>127.12093941780864</v>
      </c>
      <c r="F110" s="17">
        <v>1.7442536326863284E-4</v>
      </c>
      <c r="G110" s="19">
        <v>-1.7473647472616573E-2</v>
      </c>
      <c r="H110" s="17">
        <v>0.50643309275420667</v>
      </c>
      <c r="I110" s="17">
        <v>-3.0299494555803719</v>
      </c>
      <c r="J110" s="2">
        <f t="shared" si="16"/>
        <v>1250</v>
      </c>
      <c r="K110" s="4">
        <f t="shared" si="22"/>
        <v>17.7723749835022</v>
      </c>
      <c r="L110" s="10">
        <f t="shared" si="18"/>
        <v>1250</v>
      </c>
      <c r="M110" s="4">
        <f t="shared" si="21"/>
        <v>17.7723749835022</v>
      </c>
      <c r="S110" s="4">
        <f t="shared" si="19"/>
        <v>15.384483877723518</v>
      </c>
      <c r="T110" s="23">
        <v>6.7179853789809243E-2</v>
      </c>
      <c r="U110" s="4">
        <f t="shared" si="20"/>
        <v>20.160266089280881</v>
      </c>
    </row>
    <row r="111" spans="1:21" x14ac:dyDescent="0.3">
      <c r="A111" s="7">
        <v>1600</v>
      </c>
      <c r="B111" s="17">
        <v>-1.7763476020646609E-3</v>
      </c>
      <c r="C111" s="17">
        <v>0.19149341014774021</v>
      </c>
      <c r="D111" s="19">
        <v>-6.7961947384816082</v>
      </c>
      <c r="E111" s="17">
        <v>86.25520837147279</v>
      </c>
      <c r="F111" s="17">
        <v>3.2866809590864054E-5</v>
      </c>
      <c r="G111" s="19">
        <v>-1.9445461477867034E-3</v>
      </c>
      <c r="H111" s="17">
        <v>-2.4481057032062076E-2</v>
      </c>
      <c r="I111" s="17">
        <v>2.2610705004825689</v>
      </c>
      <c r="J111" s="2">
        <f t="shared" si="16"/>
        <v>1600</v>
      </c>
      <c r="K111" s="4">
        <f t="shared" si="22"/>
        <v>12.786201236699176</v>
      </c>
      <c r="L111" s="10">
        <f t="shared" si="18"/>
        <v>1600</v>
      </c>
      <c r="M111" s="4">
        <f t="shared" si="21"/>
        <v>12.786201236699176</v>
      </c>
      <c r="S111" s="4">
        <f t="shared" si="19"/>
        <v>10.841986521035345</v>
      </c>
      <c r="T111" s="23">
        <v>7.6027847508121194E-2</v>
      </c>
      <c r="U111" s="4">
        <f t="shared" si="20"/>
        <v>14.730415952363007</v>
      </c>
    </row>
    <row r="112" spans="1:21" x14ac:dyDescent="0.3">
      <c r="A112" s="7">
        <v>2000</v>
      </c>
      <c r="B112" s="17">
        <v>-2.476773284928401E-4</v>
      </c>
      <c r="C112" s="17">
        <v>2.0925695318093525E-2</v>
      </c>
      <c r="D112" s="19">
        <v>-0.79181164069696863</v>
      </c>
      <c r="E112" s="17">
        <v>19.766166124769434</v>
      </c>
      <c r="F112" s="17">
        <v>-1.7035108925158299E-4</v>
      </c>
      <c r="G112" s="19">
        <v>2.0270732608151695E-2</v>
      </c>
      <c r="H112" s="17">
        <v>-0.7847248379339985</v>
      </c>
      <c r="I112" s="17">
        <v>10.147667101057735</v>
      </c>
      <c r="J112" s="2">
        <f t="shared" si="16"/>
        <v>2000</v>
      </c>
      <c r="K112" s="4">
        <f t="shared" si="22"/>
        <v>10.133144385913809</v>
      </c>
      <c r="L112" s="10">
        <f t="shared" si="18"/>
        <v>2000</v>
      </c>
      <c r="M112" s="4">
        <f t="shared" si="21"/>
        <v>10.133144385913809</v>
      </c>
      <c r="S112" s="4">
        <f t="shared" si="19"/>
        <v>6.8755384416543244</v>
      </c>
      <c r="T112" s="23">
        <v>0.16074013258845482</v>
      </c>
      <c r="U112" s="4">
        <f t="shared" si="20"/>
        <v>13.390750330173294</v>
      </c>
    </row>
    <row r="113" spans="1:21" x14ac:dyDescent="0.3">
      <c r="A113" s="7">
        <v>2500</v>
      </c>
      <c r="B113" s="17">
        <v>-8.5723402049302146E-4</v>
      </c>
      <c r="C113" s="17">
        <v>8.599579487489474E-2</v>
      </c>
      <c r="D113" s="19">
        <v>-2.9397316885328197</v>
      </c>
      <c r="E113" s="17">
        <v>41.962380548408554</v>
      </c>
      <c r="F113" s="17">
        <v>-4.0669762576362462E-5</v>
      </c>
      <c r="G113" s="19">
        <v>5.6397628651862789E-3</v>
      </c>
      <c r="H113" s="17">
        <v>-0.25059680025891579</v>
      </c>
      <c r="I113" s="17">
        <v>3.7838507851340011</v>
      </c>
      <c r="J113" s="2">
        <f t="shared" si="16"/>
        <v>2500</v>
      </c>
      <c r="K113" s="4">
        <f t="shared" si="22"/>
        <v>10.197632553943468</v>
      </c>
      <c r="L113" s="10">
        <f t="shared" si="18"/>
        <v>2500</v>
      </c>
      <c r="M113" s="4">
        <f t="shared" si="21"/>
        <v>10.197632553943468</v>
      </c>
      <c r="S113" s="4">
        <f t="shared" si="19"/>
        <v>7.6345421306894128</v>
      </c>
      <c r="T113" s="23">
        <v>0.12567085594111241</v>
      </c>
      <c r="U113" s="4">
        <f t="shared" si="20"/>
        <v>12.760722977197522</v>
      </c>
    </row>
    <row r="114" spans="1:21" x14ac:dyDescent="0.3">
      <c r="A114" s="7">
        <v>3150</v>
      </c>
      <c r="B114" s="17">
        <v>-1.058707584988567E-6</v>
      </c>
      <c r="C114" s="17">
        <v>-2.2230015425977476E-3</v>
      </c>
      <c r="D114" s="19">
        <v>-0.12309292662210115</v>
      </c>
      <c r="E114" s="17">
        <v>14.228224510954423</v>
      </c>
      <c r="F114" s="17">
        <v>-6.3133328400162119E-5</v>
      </c>
      <c r="G114" s="19">
        <v>7.8072109630405546E-3</v>
      </c>
      <c r="H114" s="17">
        <v>-0.3153519103173037</v>
      </c>
      <c r="I114" s="17">
        <v>4.4381005889457317</v>
      </c>
      <c r="J114" s="2">
        <f t="shared" si="16"/>
        <v>3150</v>
      </c>
      <c r="K114" s="4">
        <f t="shared" si="22"/>
        <v>10.736903929047749</v>
      </c>
      <c r="L114" s="10">
        <f t="shared" si="18"/>
        <v>3150</v>
      </c>
      <c r="M114" s="4">
        <f t="shared" si="21"/>
        <v>10.736903929047749</v>
      </c>
      <c r="S114" s="4">
        <f t="shared" si="19"/>
        <v>8.699654480832768</v>
      </c>
      <c r="T114" s="23">
        <v>9.4871364300065222E-2</v>
      </c>
      <c r="U114" s="4">
        <f t="shared" si="20"/>
        <v>12.77415337726273</v>
      </c>
    </row>
    <row r="115" spans="1:21" x14ac:dyDescent="0.3">
      <c r="A115" s="7">
        <v>4000</v>
      </c>
      <c r="B115" s="17">
        <v>3.2091987474088267E-4</v>
      </c>
      <c r="C115" s="17">
        <v>-4.0944831429860717E-2</v>
      </c>
      <c r="D115" s="19">
        <v>1.2494256533225547</v>
      </c>
      <c r="E115" s="17">
        <v>1.8258976592864862</v>
      </c>
      <c r="F115" s="17">
        <v>-5.8647384990976642E-5</v>
      </c>
      <c r="G115" s="19">
        <v>7.2744751740280063E-3</v>
      </c>
      <c r="H115" s="17">
        <v>-0.28473558643666963</v>
      </c>
      <c r="I115" s="17">
        <v>3.6994101081625987</v>
      </c>
      <c r="J115" s="2">
        <f t="shared" si="16"/>
        <v>4000</v>
      </c>
      <c r="K115" s="4">
        <f t="shared" si="22"/>
        <v>10.819503739366322</v>
      </c>
      <c r="L115" s="10">
        <f t="shared" si="18"/>
        <v>4000</v>
      </c>
      <c r="M115" s="4">
        <f t="shared" si="21"/>
        <v>10.819503739366322</v>
      </c>
      <c r="S115" s="4">
        <f t="shared" si="19"/>
        <v>7.8663426674679888</v>
      </c>
      <c r="T115" s="23">
        <v>0.13647396142363616</v>
      </c>
      <c r="U115" s="4">
        <f t="shared" si="20"/>
        <v>13.772664811264654</v>
      </c>
    </row>
    <row r="116" spans="1:21" x14ac:dyDescent="0.3">
      <c r="A116" s="7">
        <v>5000</v>
      </c>
      <c r="B116" s="17">
        <v>4.8781880619620034E-4</v>
      </c>
      <c r="C116" s="17">
        <v>-5.8099422406207211E-2</v>
      </c>
      <c r="D116" s="19">
        <v>1.7538208497842263</v>
      </c>
      <c r="E116" s="17">
        <v>-1.5503441878949644</v>
      </c>
      <c r="F116" s="17">
        <v>-2.3815993793641368E-5</v>
      </c>
      <c r="G116" s="19">
        <v>3.4934598672911365E-3</v>
      </c>
      <c r="H116" s="17">
        <v>-0.14993138308303805</v>
      </c>
      <c r="I116" s="17">
        <v>2.1355708426079092</v>
      </c>
      <c r="J116" s="2">
        <f t="shared" si="16"/>
        <v>5000</v>
      </c>
      <c r="K116" s="4">
        <f t="shared" si="22"/>
        <v>11.366119685658374</v>
      </c>
      <c r="L116" s="10">
        <f t="shared" si="18"/>
        <v>5000</v>
      </c>
      <c r="M116" s="4">
        <f t="shared" si="21"/>
        <v>11.366119685658374</v>
      </c>
      <c r="S116" s="4">
        <f t="shared" si="19"/>
        <v>8.417297240567283</v>
      </c>
      <c r="T116" s="23">
        <v>0.12971983960418246</v>
      </c>
      <c r="U116" s="4">
        <f t="shared" si="20"/>
        <v>14.314942130749465</v>
      </c>
    </row>
    <row r="117" spans="1:21" x14ac:dyDescent="0.3">
      <c r="A117" s="7">
        <v>6300</v>
      </c>
      <c r="B117" s="17">
        <v>6.7742645068749792E-4</v>
      </c>
      <c r="C117" s="17">
        <v>-7.1866403502361509E-2</v>
      </c>
      <c r="D117" s="19">
        <v>1.9389167766434978</v>
      </c>
      <c r="E117" s="17">
        <v>-0.1266715683314672</v>
      </c>
      <c r="F117" s="17">
        <v>-1.2176627459047663E-5</v>
      </c>
      <c r="G117" s="19">
        <v>2.2205593207320347E-3</v>
      </c>
      <c r="H117" s="17">
        <v>-0.10405994831630407</v>
      </c>
      <c r="I117" s="17">
        <v>1.6046546184538204</v>
      </c>
      <c r="J117" s="2">
        <f t="shared" si="16"/>
        <v>6300</v>
      </c>
      <c r="K117" s="4">
        <f t="shared" si="22"/>
        <v>10.664911355143795</v>
      </c>
      <c r="L117" s="10">
        <f t="shared" si="18"/>
        <v>6300</v>
      </c>
      <c r="M117" s="4">
        <f t="shared" si="21"/>
        <v>10.664911355143795</v>
      </c>
      <c r="S117" s="4">
        <f t="shared" si="19"/>
        <v>8.2127594161280495</v>
      </c>
      <c r="T117" s="23">
        <v>0.11496354059394261</v>
      </c>
      <c r="U117" s="4">
        <f t="shared" si="20"/>
        <v>13.117063294159541</v>
      </c>
    </row>
    <row r="118" spans="1:21" x14ac:dyDescent="0.3">
      <c r="A118" s="7">
        <v>8000</v>
      </c>
      <c r="B118" s="17">
        <v>1.0290416827632674E-3</v>
      </c>
      <c r="C118" s="17">
        <v>-0.10186976063484215</v>
      </c>
      <c r="D118" s="19">
        <v>2.6621198349154298</v>
      </c>
      <c r="E118" s="17">
        <v>-4.6722650152127372</v>
      </c>
      <c r="F118" s="17">
        <v>-2.3177036473363042E-5</v>
      </c>
      <c r="G118" s="19">
        <v>2.9677813393768396E-3</v>
      </c>
      <c r="H118" s="17">
        <v>-0.11215526149462809</v>
      </c>
      <c r="I118" s="17">
        <v>1.4809329951276287</v>
      </c>
      <c r="J118" s="2">
        <f t="shared" si="16"/>
        <v>8000</v>
      </c>
      <c r="K118" s="4">
        <f t="shared" si="22"/>
        <v>10.275413761772938</v>
      </c>
      <c r="L118" s="10">
        <f t="shared" si="18"/>
        <v>8000</v>
      </c>
      <c r="M118" s="4">
        <f t="shared" si="21"/>
        <v>10.275413761772938</v>
      </c>
      <c r="S118" s="4">
        <f t="shared" si="19"/>
        <v>8.2530612020756084</v>
      </c>
      <c r="T118" s="23">
        <v>9.8407354028943267E-2</v>
      </c>
      <c r="U118" s="4">
        <f t="shared" si="20"/>
        <v>12.297766321470268</v>
      </c>
    </row>
    <row r="119" spans="1:21" x14ac:dyDescent="0.3">
      <c r="A119" s="12">
        <v>10000</v>
      </c>
      <c r="B119" s="20">
        <v>1.6913832083530465E-3</v>
      </c>
      <c r="C119" s="20">
        <v>-0.16215332262144869</v>
      </c>
      <c r="D119" s="21">
        <v>4.314396345159639</v>
      </c>
      <c r="E119" s="20">
        <v>-18.155912248504961</v>
      </c>
      <c r="F119" s="20">
        <v>-5.4465110060319976E-5</v>
      </c>
      <c r="G119" s="21">
        <v>5.4387040152397469E-3</v>
      </c>
      <c r="H119" s="17">
        <v>-0.15975445844830793</v>
      </c>
      <c r="I119" s="17">
        <v>1.5069951105825825</v>
      </c>
      <c r="J119" s="2">
        <f t="shared" si="16"/>
        <v>10000</v>
      </c>
      <c r="K119" s="4">
        <f t="shared" si="22"/>
        <v>9.8738875570630569</v>
      </c>
      <c r="L119" s="10">
        <f t="shared" si="18"/>
        <v>10000</v>
      </c>
      <c r="M119" s="4">
        <f t="shared" si="21"/>
        <v>9.8738875570630569</v>
      </c>
      <c r="S119" s="4">
        <f t="shared" si="19"/>
        <v>7.7536972677408151</v>
      </c>
      <c r="T119" s="23">
        <v>0.10736350181573687</v>
      </c>
      <c r="U119" s="4">
        <f t="shared" si="20"/>
        <v>11.994077846385299</v>
      </c>
    </row>
  </sheetData>
  <sheetProtection selectLockedCells="1" selectUnlockedCells="1"/>
  <mergeCells count="6">
    <mergeCell ref="K91:K94"/>
    <mergeCell ref="I31:I34"/>
    <mergeCell ref="O2:U2"/>
    <mergeCell ref="L1:L4"/>
    <mergeCell ref="I1:I4"/>
    <mergeCell ref="K61:K64"/>
  </mergeCells>
  <pageMargins left="0.7" right="0.7" top="0.75" bottom="0.75" header="0.3" footer="0.3"/>
  <pageSetup orientation="portrait" horizontalDpi="4294967293" verticalDpi="4294967293" r:id="rId1"/>
  <drawing r:id="rId2"/>
  <legacyDrawing r:id="rId3"/>
  <oleObjects>
    <mc:AlternateContent xmlns:mc="http://schemas.openxmlformats.org/markup-compatibility/2006">
      <mc:Choice Requires="x14">
        <oleObject progId="Equation.DSMT4" shapeId="8193" r:id="rId4">
          <objectPr defaultSize="0" autoPict="0" r:id="rId5">
            <anchor moveWithCells="1">
              <from>
                <xdr:col>9</xdr:col>
                <xdr:colOff>160020</xdr:colOff>
                <xdr:row>63</xdr:row>
                <xdr:rowOff>30480</xdr:rowOff>
              </from>
              <to>
                <xdr:col>14</xdr:col>
                <xdr:colOff>182880</xdr:colOff>
                <xdr:row>64</xdr:row>
                <xdr:rowOff>106680</xdr:rowOff>
              </to>
            </anchor>
          </objectPr>
        </oleObject>
      </mc:Choice>
      <mc:Fallback>
        <oleObject progId="Equation.DSMT4" shapeId="8193" r:id="rId4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READ ME</vt:lpstr>
      <vt:lpstr>SELECT</vt:lpstr>
      <vt:lpstr>Coeff+Calc</vt:lpstr>
      <vt:lpstr>SELECT!Print_Area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Jerry</dc:creator>
  <cp:lastModifiedBy>Steve Wise</cp:lastModifiedBy>
  <cp:lastPrinted>2018-10-05T21:13:46Z</cp:lastPrinted>
  <dcterms:created xsi:type="dcterms:W3CDTF">2017-06-25T00:38:24Z</dcterms:created>
  <dcterms:modified xsi:type="dcterms:W3CDTF">2025-05-18T11:03:38Z</dcterms:modified>
</cp:coreProperties>
</file>